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hidePivotFieldList="1"/>
  <mc:AlternateContent xmlns:mc="http://schemas.openxmlformats.org/markup-compatibility/2006">
    <mc:Choice Requires="x15">
      <x15ac:absPath xmlns:x15ac="http://schemas.microsoft.com/office/spreadsheetml/2010/11/ac" url="F:\000 IPAC - 22 PROGRAM\6-1-22-24\Handouts\Session 2\"/>
    </mc:Choice>
  </mc:AlternateContent>
  <xr:revisionPtr revIDLastSave="0" documentId="8_{C4E68008-943E-47ED-B825-8302C0C0E412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Resident Days Present" sheetId="19" r:id="rId1"/>
    <sheet name="Summary" sheetId="17" r:id="rId2"/>
    <sheet name="Calculations" sheetId="18" state="hidden" r:id="rId3"/>
    <sheet name="January" sheetId="1" r:id="rId4"/>
    <sheet name="February" sheetId="5" r:id="rId5"/>
    <sheet name="March" sheetId="6" r:id="rId6"/>
    <sheet name="April" sheetId="8" r:id="rId7"/>
    <sheet name="May" sheetId="9" r:id="rId8"/>
    <sheet name="June" sheetId="10" r:id="rId9"/>
    <sheet name="July" sheetId="11" r:id="rId10"/>
    <sheet name="August" sheetId="12" r:id="rId11"/>
    <sheet name="September" sheetId="13" r:id="rId12"/>
    <sheet name="October" sheetId="14" r:id="rId13"/>
    <sheet name="November" sheetId="15" r:id="rId14"/>
    <sheet name="December" sheetId="16" r:id="rId15"/>
    <sheet name="Lookups" sheetId="2" r:id="rId16"/>
  </sheets>
  <definedNames>
    <definedName name="_xlcn.WorksheetConnection_TrackingToolDraft.xlsxMonths" hidden="1">Months</definedName>
    <definedName name="_xlcn.WorksheetConnection_TrackingToolDraft.xlsxTracking_Table" hidden="1">Table_Jan[]</definedName>
  </definedNames>
  <calcPr calcId="18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cking_Table" name="Tracking_Table" connection="WorksheetConnection_Tracking Tool Draft.xlsx!Tracking_Table"/>
          <x15:modelTable id="Months" name="Months" connection="WorksheetConnection_Tracking Tool Draft.xlsx!Month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8" l="1"/>
  <c r="B12" i="18"/>
  <c r="B11" i="18"/>
  <c r="B10" i="18"/>
  <c r="B9" i="18"/>
  <c r="B8" i="18"/>
  <c r="B7" i="18"/>
  <c r="B6" i="18"/>
  <c r="B5" i="18"/>
  <c r="B4" i="18"/>
  <c r="B3" i="18"/>
  <c r="B2" i="18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3" i="14"/>
  <c r="AJ4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3" i="13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3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D8" i="17" l="1"/>
  <c r="E8" i="17" s="1"/>
  <c r="W2" i="18" l="1"/>
  <c r="W3" i="18"/>
  <c r="W4" i="18"/>
  <c r="W5" i="18"/>
  <c r="W6" i="18"/>
  <c r="W7" i="18"/>
  <c r="W8" i="18"/>
  <c r="W9" i="18"/>
  <c r="W10" i="18"/>
  <c r="W11" i="18"/>
  <c r="W12" i="18"/>
  <c r="W13" i="18"/>
  <c r="AJ4" i="1" l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3" i="1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X3" i="16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U2" i="18" l="1"/>
  <c r="G8" i="16" l="1"/>
  <c r="G53" i="16" l="1"/>
  <c r="N53" i="16"/>
  <c r="X53" i="16"/>
  <c r="AF53" i="16"/>
  <c r="G52" i="16"/>
  <c r="N52" i="16"/>
  <c r="X52" i="16"/>
  <c r="AF52" i="16"/>
  <c r="G51" i="16"/>
  <c r="N51" i="16"/>
  <c r="X51" i="16"/>
  <c r="AF51" i="16"/>
  <c r="G53" i="15"/>
  <c r="N53" i="15"/>
  <c r="X53" i="15"/>
  <c r="AF53" i="15"/>
  <c r="G52" i="15"/>
  <c r="N52" i="15"/>
  <c r="X52" i="15"/>
  <c r="AF52" i="15"/>
  <c r="G51" i="15"/>
  <c r="N51" i="15"/>
  <c r="X51" i="15"/>
  <c r="AF51" i="15"/>
  <c r="G53" i="14"/>
  <c r="N53" i="14"/>
  <c r="X53" i="14"/>
  <c r="AF53" i="14"/>
  <c r="G52" i="14"/>
  <c r="N52" i="14"/>
  <c r="X52" i="14"/>
  <c r="AF52" i="14"/>
  <c r="G51" i="14"/>
  <c r="N51" i="14"/>
  <c r="X51" i="14"/>
  <c r="AF51" i="14"/>
  <c r="G53" i="13"/>
  <c r="N53" i="13"/>
  <c r="X53" i="13"/>
  <c r="AF53" i="13"/>
  <c r="G52" i="13"/>
  <c r="N52" i="13"/>
  <c r="X52" i="13"/>
  <c r="AF52" i="13"/>
  <c r="G51" i="13"/>
  <c r="N51" i="13"/>
  <c r="X51" i="13"/>
  <c r="AF51" i="13"/>
  <c r="G53" i="12"/>
  <c r="N53" i="12"/>
  <c r="X53" i="12"/>
  <c r="AF53" i="12"/>
  <c r="G52" i="12"/>
  <c r="N52" i="12"/>
  <c r="X52" i="12"/>
  <c r="AF52" i="12"/>
  <c r="G51" i="12"/>
  <c r="N51" i="12"/>
  <c r="X51" i="12"/>
  <c r="AF51" i="12"/>
  <c r="G53" i="11"/>
  <c r="N53" i="11"/>
  <c r="X53" i="11"/>
  <c r="AF53" i="11"/>
  <c r="G52" i="11"/>
  <c r="N52" i="11"/>
  <c r="X52" i="11"/>
  <c r="AF52" i="11"/>
  <c r="G51" i="11"/>
  <c r="N51" i="11"/>
  <c r="X51" i="11"/>
  <c r="AF51" i="11"/>
  <c r="G53" i="10"/>
  <c r="N53" i="10"/>
  <c r="X53" i="10"/>
  <c r="AF53" i="10"/>
  <c r="G52" i="10"/>
  <c r="N52" i="10"/>
  <c r="X52" i="10"/>
  <c r="AF52" i="10"/>
  <c r="G51" i="10"/>
  <c r="N51" i="10"/>
  <c r="X51" i="10"/>
  <c r="AF51" i="10"/>
  <c r="G53" i="9"/>
  <c r="X53" i="9"/>
  <c r="AF53" i="9"/>
  <c r="G52" i="9"/>
  <c r="X52" i="9"/>
  <c r="AF52" i="9"/>
  <c r="G51" i="9"/>
  <c r="X51" i="9"/>
  <c r="AF51" i="9"/>
  <c r="G53" i="8"/>
  <c r="X53" i="8"/>
  <c r="AF53" i="8"/>
  <c r="G52" i="8"/>
  <c r="X52" i="8"/>
  <c r="AF52" i="8"/>
  <c r="G51" i="8"/>
  <c r="X51" i="8"/>
  <c r="AF51" i="8"/>
  <c r="G53" i="6"/>
  <c r="N53" i="6"/>
  <c r="X53" i="6"/>
  <c r="AF53" i="6"/>
  <c r="G52" i="6"/>
  <c r="N52" i="6"/>
  <c r="X52" i="6"/>
  <c r="AF52" i="6"/>
  <c r="G51" i="6"/>
  <c r="N51" i="6"/>
  <c r="X51" i="6"/>
  <c r="AF51" i="6"/>
  <c r="G53" i="1"/>
  <c r="X53" i="1"/>
  <c r="AF53" i="1"/>
  <c r="G53" i="5"/>
  <c r="X53" i="5"/>
  <c r="AF53" i="5"/>
  <c r="G52" i="5"/>
  <c r="X52" i="5"/>
  <c r="AF52" i="5"/>
  <c r="G51" i="5"/>
  <c r="X51" i="5"/>
  <c r="AF51" i="5"/>
  <c r="G52" i="1"/>
  <c r="X52" i="1"/>
  <c r="AF52" i="1"/>
  <c r="G51" i="1"/>
  <c r="X51" i="1"/>
  <c r="AF51" i="1"/>
  <c r="G50" i="16" l="1"/>
  <c r="N50" i="16"/>
  <c r="X50" i="16"/>
  <c r="AF50" i="16"/>
  <c r="G49" i="16"/>
  <c r="N49" i="16"/>
  <c r="X49" i="16"/>
  <c r="AF49" i="16"/>
  <c r="G48" i="16"/>
  <c r="N48" i="16"/>
  <c r="X48" i="16"/>
  <c r="AF48" i="16"/>
  <c r="G47" i="16"/>
  <c r="N47" i="16"/>
  <c r="X47" i="16"/>
  <c r="AF47" i="16"/>
  <c r="G46" i="16"/>
  <c r="N46" i="16"/>
  <c r="X46" i="16"/>
  <c r="AF46" i="16"/>
  <c r="G45" i="16"/>
  <c r="N45" i="16"/>
  <c r="X45" i="16"/>
  <c r="AF45" i="16"/>
  <c r="G44" i="16"/>
  <c r="N44" i="16"/>
  <c r="X44" i="16"/>
  <c r="AF44" i="16"/>
  <c r="G43" i="16"/>
  <c r="N43" i="16"/>
  <c r="X43" i="16"/>
  <c r="AF43" i="16"/>
  <c r="G42" i="16"/>
  <c r="N42" i="16"/>
  <c r="X42" i="16"/>
  <c r="AF42" i="16"/>
  <c r="G41" i="16"/>
  <c r="N41" i="16"/>
  <c r="X41" i="16"/>
  <c r="AF41" i="16"/>
  <c r="G40" i="16"/>
  <c r="N40" i="16"/>
  <c r="X40" i="16"/>
  <c r="AF40" i="16"/>
  <c r="G39" i="16"/>
  <c r="N39" i="16"/>
  <c r="X39" i="16"/>
  <c r="AF39" i="16"/>
  <c r="G38" i="16"/>
  <c r="N38" i="16"/>
  <c r="X38" i="16"/>
  <c r="AF38" i="16"/>
  <c r="G37" i="16"/>
  <c r="N37" i="16"/>
  <c r="X37" i="16"/>
  <c r="AF37" i="16"/>
  <c r="G36" i="16"/>
  <c r="N36" i="16"/>
  <c r="X36" i="16"/>
  <c r="AF36" i="16"/>
  <c r="G35" i="16"/>
  <c r="N35" i="16"/>
  <c r="X35" i="16"/>
  <c r="AF35" i="16"/>
  <c r="G34" i="16"/>
  <c r="N34" i="16"/>
  <c r="X34" i="16"/>
  <c r="AF34" i="16"/>
  <c r="G33" i="16"/>
  <c r="N33" i="16"/>
  <c r="X33" i="16"/>
  <c r="AF33" i="16"/>
  <c r="G32" i="16"/>
  <c r="N32" i="16"/>
  <c r="X32" i="16"/>
  <c r="AF32" i="16"/>
  <c r="G31" i="16"/>
  <c r="N31" i="16"/>
  <c r="X31" i="16"/>
  <c r="AF31" i="16"/>
  <c r="G30" i="16"/>
  <c r="N30" i="16"/>
  <c r="X30" i="16"/>
  <c r="AF30" i="16"/>
  <c r="G29" i="16"/>
  <c r="N29" i="16"/>
  <c r="X29" i="16"/>
  <c r="AF29" i="16"/>
  <c r="G28" i="16"/>
  <c r="N28" i="16"/>
  <c r="X28" i="16"/>
  <c r="AF28" i="16"/>
  <c r="G27" i="16"/>
  <c r="N27" i="16"/>
  <c r="X27" i="16"/>
  <c r="AF27" i="16"/>
  <c r="G26" i="16"/>
  <c r="N26" i="16"/>
  <c r="X26" i="16"/>
  <c r="AF26" i="16"/>
  <c r="G25" i="16"/>
  <c r="N25" i="16"/>
  <c r="X25" i="16"/>
  <c r="AF25" i="16"/>
  <c r="G24" i="16"/>
  <c r="N24" i="16"/>
  <c r="X24" i="16"/>
  <c r="AF24" i="16"/>
  <c r="G23" i="16"/>
  <c r="N23" i="16"/>
  <c r="X23" i="16"/>
  <c r="AF23" i="16"/>
  <c r="G22" i="16"/>
  <c r="N22" i="16"/>
  <c r="X22" i="16"/>
  <c r="AF22" i="16"/>
  <c r="G21" i="16"/>
  <c r="N21" i="16"/>
  <c r="X21" i="16"/>
  <c r="AF21" i="16"/>
  <c r="G20" i="16"/>
  <c r="N20" i="16"/>
  <c r="X20" i="16"/>
  <c r="AF20" i="16"/>
  <c r="G19" i="16"/>
  <c r="N19" i="16"/>
  <c r="X19" i="16"/>
  <c r="AF19" i="16"/>
  <c r="G18" i="16"/>
  <c r="N18" i="16"/>
  <c r="X18" i="16"/>
  <c r="AF18" i="16"/>
  <c r="G17" i="16"/>
  <c r="N17" i="16"/>
  <c r="X17" i="16"/>
  <c r="AF17" i="16"/>
  <c r="G16" i="16"/>
  <c r="N16" i="16"/>
  <c r="X16" i="16"/>
  <c r="AF16" i="16"/>
  <c r="G15" i="16"/>
  <c r="N15" i="16"/>
  <c r="X15" i="16"/>
  <c r="AF15" i="16"/>
  <c r="G14" i="16"/>
  <c r="N14" i="16"/>
  <c r="X14" i="16"/>
  <c r="AF14" i="16"/>
  <c r="G13" i="16"/>
  <c r="N13" i="16"/>
  <c r="X13" i="16"/>
  <c r="AF13" i="16"/>
  <c r="G12" i="16"/>
  <c r="N12" i="16"/>
  <c r="X12" i="16"/>
  <c r="AF12" i="16"/>
  <c r="G11" i="16"/>
  <c r="N11" i="16"/>
  <c r="X11" i="16"/>
  <c r="AF11" i="16"/>
  <c r="G10" i="16"/>
  <c r="N10" i="16"/>
  <c r="X10" i="16"/>
  <c r="AF10" i="16"/>
  <c r="G9" i="16"/>
  <c r="N9" i="16"/>
  <c r="X9" i="16"/>
  <c r="AF9" i="16"/>
  <c r="N8" i="16"/>
  <c r="X8" i="16"/>
  <c r="AF8" i="16"/>
  <c r="G7" i="16"/>
  <c r="N7" i="16"/>
  <c r="X7" i="16"/>
  <c r="AF7" i="16"/>
  <c r="G6" i="16"/>
  <c r="N6" i="16"/>
  <c r="X6" i="16"/>
  <c r="AF6" i="16"/>
  <c r="G5" i="16"/>
  <c r="N5" i="16"/>
  <c r="X5" i="16"/>
  <c r="AF5" i="16"/>
  <c r="G4" i="16"/>
  <c r="N4" i="16"/>
  <c r="X4" i="16"/>
  <c r="AF4" i="16"/>
  <c r="D18" i="17" s="1"/>
  <c r="E18" i="17" s="1"/>
  <c r="G50" i="15"/>
  <c r="N50" i="15"/>
  <c r="X50" i="15"/>
  <c r="AF50" i="15"/>
  <c r="G49" i="15"/>
  <c r="N49" i="15"/>
  <c r="X49" i="15"/>
  <c r="AF49" i="15"/>
  <c r="G48" i="15"/>
  <c r="N48" i="15"/>
  <c r="X48" i="15"/>
  <c r="AF48" i="15"/>
  <c r="G47" i="15"/>
  <c r="N47" i="15"/>
  <c r="X47" i="15"/>
  <c r="AF47" i="15"/>
  <c r="G46" i="15"/>
  <c r="N46" i="15"/>
  <c r="X46" i="15"/>
  <c r="AF46" i="15"/>
  <c r="G45" i="15"/>
  <c r="N45" i="15"/>
  <c r="X45" i="15"/>
  <c r="AF45" i="15"/>
  <c r="G44" i="15"/>
  <c r="N44" i="15"/>
  <c r="X44" i="15"/>
  <c r="AF44" i="15"/>
  <c r="G43" i="15"/>
  <c r="N43" i="15"/>
  <c r="X43" i="15"/>
  <c r="AF43" i="15"/>
  <c r="G42" i="15"/>
  <c r="N42" i="15"/>
  <c r="X42" i="15"/>
  <c r="AF42" i="15"/>
  <c r="G41" i="15"/>
  <c r="N41" i="15"/>
  <c r="X41" i="15"/>
  <c r="AF41" i="15"/>
  <c r="G40" i="15"/>
  <c r="N40" i="15"/>
  <c r="X40" i="15"/>
  <c r="AF40" i="15"/>
  <c r="G39" i="15"/>
  <c r="N39" i="15"/>
  <c r="X39" i="15"/>
  <c r="AF39" i="15"/>
  <c r="G38" i="15"/>
  <c r="N38" i="15"/>
  <c r="X38" i="15"/>
  <c r="AF38" i="15"/>
  <c r="G37" i="15"/>
  <c r="N37" i="15"/>
  <c r="X37" i="15"/>
  <c r="AF37" i="15"/>
  <c r="G36" i="15"/>
  <c r="N36" i="15"/>
  <c r="X36" i="15"/>
  <c r="AF36" i="15"/>
  <c r="G35" i="15"/>
  <c r="N35" i="15"/>
  <c r="X35" i="15"/>
  <c r="AF35" i="15"/>
  <c r="G34" i="15"/>
  <c r="N34" i="15"/>
  <c r="X34" i="15"/>
  <c r="AF34" i="15"/>
  <c r="G33" i="15"/>
  <c r="N33" i="15"/>
  <c r="X33" i="15"/>
  <c r="AF33" i="15"/>
  <c r="G32" i="15"/>
  <c r="N32" i="15"/>
  <c r="X32" i="15"/>
  <c r="AF32" i="15"/>
  <c r="G31" i="15"/>
  <c r="N31" i="15"/>
  <c r="X31" i="15"/>
  <c r="AF31" i="15"/>
  <c r="G30" i="15"/>
  <c r="N30" i="15"/>
  <c r="X30" i="15"/>
  <c r="AF30" i="15"/>
  <c r="G29" i="15"/>
  <c r="N29" i="15"/>
  <c r="X29" i="15"/>
  <c r="AF29" i="15"/>
  <c r="G28" i="15"/>
  <c r="N28" i="15"/>
  <c r="X28" i="15"/>
  <c r="AF28" i="15"/>
  <c r="G27" i="15"/>
  <c r="N27" i="15"/>
  <c r="X27" i="15"/>
  <c r="AF27" i="15"/>
  <c r="G26" i="15"/>
  <c r="N26" i="15"/>
  <c r="X26" i="15"/>
  <c r="AF26" i="15"/>
  <c r="G25" i="15"/>
  <c r="N25" i="15"/>
  <c r="X25" i="15"/>
  <c r="AF25" i="15"/>
  <c r="G24" i="15"/>
  <c r="N24" i="15"/>
  <c r="X24" i="15"/>
  <c r="AF24" i="15"/>
  <c r="G23" i="15"/>
  <c r="N23" i="15"/>
  <c r="X23" i="15"/>
  <c r="AF23" i="15"/>
  <c r="G22" i="15"/>
  <c r="N22" i="15"/>
  <c r="X22" i="15"/>
  <c r="AF22" i="15"/>
  <c r="G21" i="15"/>
  <c r="N21" i="15"/>
  <c r="X21" i="15"/>
  <c r="AF21" i="15"/>
  <c r="G20" i="15"/>
  <c r="N20" i="15"/>
  <c r="X20" i="15"/>
  <c r="AF20" i="15"/>
  <c r="G19" i="15"/>
  <c r="N19" i="15"/>
  <c r="X19" i="15"/>
  <c r="AF19" i="15"/>
  <c r="G18" i="15"/>
  <c r="N18" i="15"/>
  <c r="X18" i="15"/>
  <c r="AF18" i="15"/>
  <c r="G17" i="15"/>
  <c r="N17" i="15"/>
  <c r="X17" i="15"/>
  <c r="AF17" i="15"/>
  <c r="G16" i="15"/>
  <c r="N16" i="15"/>
  <c r="X16" i="15"/>
  <c r="AF16" i="15"/>
  <c r="G15" i="15"/>
  <c r="N15" i="15"/>
  <c r="X15" i="15"/>
  <c r="AF15" i="15"/>
  <c r="G14" i="15"/>
  <c r="N14" i="15"/>
  <c r="X14" i="15"/>
  <c r="AF14" i="15"/>
  <c r="G13" i="15"/>
  <c r="N13" i="15"/>
  <c r="X13" i="15"/>
  <c r="AF13" i="15"/>
  <c r="G12" i="15"/>
  <c r="N12" i="15"/>
  <c r="X12" i="15"/>
  <c r="AF12" i="15"/>
  <c r="G11" i="15"/>
  <c r="N11" i="15"/>
  <c r="X11" i="15"/>
  <c r="AF11" i="15"/>
  <c r="G10" i="15"/>
  <c r="N10" i="15"/>
  <c r="X10" i="15"/>
  <c r="AF10" i="15"/>
  <c r="G9" i="15"/>
  <c r="N9" i="15"/>
  <c r="X9" i="15"/>
  <c r="AF9" i="15"/>
  <c r="G8" i="15"/>
  <c r="N8" i="15"/>
  <c r="X8" i="15"/>
  <c r="AF8" i="15"/>
  <c r="G7" i="15"/>
  <c r="N7" i="15"/>
  <c r="X7" i="15"/>
  <c r="AF7" i="15"/>
  <c r="G6" i="15"/>
  <c r="N6" i="15"/>
  <c r="X6" i="15"/>
  <c r="AF6" i="15"/>
  <c r="G5" i="15"/>
  <c r="N5" i="15"/>
  <c r="X5" i="15"/>
  <c r="AF5" i="15"/>
  <c r="G4" i="15"/>
  <c r="N4" i="15"/>
  <c r="X4" i="15"/>
  <c r="AF4" i="15"/>
  <c r="G50" i="14"/>
  <c r="N50" i="14"/>
  <c r="X50" i="14"/>
  <c r="AF50" i="14"/>
  <c r="G49" i="14"/>
  <c r="N49" i="14"/>
  <c r="X49" i="14"/>
  <c r="AF49" i="14"/>
  <c r="G48" i="14"/>
  <c r="N48" i="14"/>
  <c r="X48" i="14"/>
  <c r="AF48" i="14"/>
  <c r="G47" i="14"/>
  <c r="N47" i="14"/>
  <c r="X47" i="14"/>
  <c r="AF47" i="14"/>
  <c r="G46" i="14"/>
  <c r="N46" i="14"/>
  <c r="X46" i="14"/>
  <c r="AF46" i="14"/>
  <c r="G45" i="14"/>
  <c r="N45" i="14"/>
  <c r="X45" i="14"/>
  <c r="AF45" i="14"/>
  <c r="G44" i="14"/>
  <c r="N44" i="14"/>
  <c r="X44" i="14"/>
  <c r="AF44" i="14"/>
  <c r="G43" i="14"/>
  <c r="N43" i="14"/>
  <c r="X43" i="14"/>
  <c r="AF43" i="14"/>
  <c r="G42" i="14"/>
  <c r="N42" i="14"/>
  <c r="X42" i="14"/>
  <c r="AF42" i="14"/>
  <c r="G41" i="14"/>
  <c r="N41" i="14"/>
  <c r="X41" i="14"/>
  <c r="AF41" i="14"/>
  <c r="G40" i="14"/>
  <c r="N40" i="14"/>
  <c r="X40" i="14"/>
  <c r="AF40" i="14"/>
  <c r="G39" i="14"/>
  <c r="N39" i="14"/>
  <c r="X39" i="14"/>
  <c r="AF39" i="14"/>
  <c r="G38" i="14"/>
  <c r="N38" i="14"/>
  <c r="X38" i="14"/>
  <c r="AF38" i="14"/>
  <c r="G37" i="14"/>
  <c r="N37" i="14"/>
  <c r="X37" i="14"/>
  <c r="AF37" i="14"/>
  <c r="G36" i="14"/>
  <c r="N36" i="14"/>
  <c r="X36" i="14"/>
  <c r="AF36" i="14"/>
  <c r="G35" i="14"/>
  <c r="N35" i="14"/>
  <c r="X35" i="14"/>
  <c r="AF35" i="14"/>
  <c r="G34" i="14"/>
  <c r="N34" i="14"/>
  <c r="X34" i="14"/>
  <c r="AF34" i="14"/>
  <c r="G33" i="14"/>
  <c r="N33" i="14"/>
  <c r="X33" i="14"/>
  <c r="AF33" i="14"/>
  <c r="G32" i="14"/>
  <c r="N32" i="14"/>
  <c r="X32" i="14"/>
  <c r="AF32" i="14"/>
  <c r="G31" i="14"/>
  <c r="N31" i="14"/>
  <c r="X31" i="14"/>
  <c r="AF31" i="14"/>
  <c r="G30" i="14"/>
  <c r="N30" i="14"/>
  <c r="X30" i="14"/>
  <c r="AF30" i="14"/>
  <c r="G29" i="14"/>
  <c r="N29" i="14"/>
  <c r="X29" i="14"/>
  <c r="AF29" i="14"/>
  <c r="G28" i="14"/>
  <c r="N28" i="14"/>
  <c r="X28" i="14"/>
  <c r="AF28" i="14"/>
  <c r="G27" i="14"/>
  <c r="N27" i="14"/>
  <c r="X27" i="14"/>
  <c r="AF27" i="14"/>
  <c r="G26" i="14"/>
  <c r="N26" i="14"/>
  <c r="X26" i="14"/>
  <c r="AF26" i="14"/>
  <c r="G25" i="14"/>
  <c r="N25" i="14"/>
  <c r="X25" i="14"/>
  <c r="AF25" i="14"/>
  <c r="G24" i="14"/>
  <c r="N24" i="14"/>
  <c r="X24" i="14"/>
  <c r="AF24" i="14"/>
  <c r="G23" i="14"/>
  <c r="N23" i="14"/>
  <c r="X23" i="14"/>
  <c r="AF23" i="14"/>
  <c r="G22" i="14"/>
  <c r="N22" i="14"/>
  <c r="X22" i="14"/>
  <c r="AF22" i="14"/>
  <c r="G21" i="14"/>
  <c r="N21" i="14"/>
  <c r="X21" i="14"/>
  <c r="AF21" i="14"/>
  <c r="G20" i="14"/>
  <c r="N20" i="14"/>
  <c r="X20" i="14"/>
  <c r="AF20" i="14"/>
  <c r="G19" i="14"/>
  <c r="N19" i="14"/>
  <c r="X19" i="14"/>
  <c r="AF19" i="14"/>
  <c r="G18" i="14"/>
  <c r="N18" i="14"/>
  <c r="X18" i="14"/>
  <c r="AF18" i="14"/>
  <c r="G17" i="14"/>
  <c r="N17" i="14"/>
  <c r="X17" i="14"/>
  <c r="AF17" i="14"/>
  <c r="G16" i="14"/>
  <c r="N16" i="14"/>
  <c r="X16" i="14"/>
  <c r="AF16" i="14"/>
  <c r="G15" i="14"/>
  <c r="N15" i="14"/>
  <c r="X15" i="14"/>
  <c r="AF15" i="14"/>
  <c r="G14" i="14"/>
  <c r="N14" i="14"/>
  <c r="X14" i="14"/>
  <c r="AF14" i="14"/>
  <c r="G13" i="14"/>
  <c r="N13" i="14"/>
  <c r="X13" i="14"/>
  <c r="AF13" i="14"/>
  <c r="G12" i="14"/>
  <c r="N12" i="14"/>
  <c r="X12" i="14"/>
  <c r="AF12" i="14"/>
  <c r="G11" i="14"/>
  <c r="N11" i="14"/>
  <c r="X11" i="14"/>
  <c r="AF11" i="14"/>
  <c r="G10" i="14"/>
  <c r="N10" i="14"/>
  <c r="X10" i="14"/>
  <c r="AF10" i="14"/>
  <c r="G9" i="14"/>
  <c r="N9" i="14"/>
  <c r="X9" i="14"/>
  <c r="AF9" i="14"/>
  <c r="G8" i="14"/>
  <c r="N8" i="14"/>
  <c r="X8" i="14"/>
  <c r="AF8" i="14"/>
  <c r="G7" i="14"/>
  <c r="N7" i="14"/>
  <c r="X7" i="14"/>
  <c r="AF7" i="14"/>
  <c r="G6" i="14"/>
  <c r="N6" i="14"/>
  <c r="X6" i="14"/>
  <c r="AF6" i="14"/>
  <c r="G5" i="14"/>
  <c r="N5" i="14"/>
  <c r="X5" i="14"/>
  <c r="AF5" i="14"/>
  <c r="G4" i="14"/>
  <c r="N4" i="14"/>
  <c r="X4" i="14"/>
  <c r="AF4" i="14"/>
  <c r="D16" i="17" s="1"/>
  <c r="E16" i="17" s="1"/>
  <c r="G50" i="13"/>
  <c r="N50" i="13"/>
  <c r="X50" i="13"/>
  <c r="AF50" i="13"/>
  <c r="G49" i="13"/>
  <c r="N49" i="13"/>
  <c r="X49" i="13"/>
  <c r="AF49" i="13"/>
  <c r="G48" i="13"/>
  <c r="N48" i="13"/>
  <c r="X48" i="13"/>
  <c r="AF48" i="13"/>
  <c r="G47" i="13"/>
  <c r="N47" i="13"/>
  <c r="X47" i="13"/>
  <c r="AF47" i="13"/>
  <c r="G46" i="13"/>
  <c r="N46" i="13"/>
  <c r="X46" i="13"/>
  <c r="AF46" i="13"/>
  <c r="G45" i="13"/>
  <c r="N45" i="13"/>
  <c r="X45" i="13"/>
  <c r="AF45" i="13"/>
  <c r="G44" i="13"/>
  <c r="N44" i="13"/>
  <c r="X44" i="13"/>
  <c r="AF44" i="13"/>
  <c r="G43" i="13"/>
  <c r="N43" i="13"/>
  <c r="X43" i="13"/>
  <c r="AF43" i="13"/>
  <c r="G42" i="13"/>
  <c r="N42" i="13"/>
  <c r="X42" i="13"/>
  <c r="AF42" i="13"/>
  <c r="G41" i="13"/>
  <c r="N41" i="13"/>
  <c r="X41" i="13"/>
  <c r="AF41" i="13"/>
  <c r="G40" i="13"/>
  <c r="N40" i="13"/>
  <c r="X40" i="13"/>
  <c r="AF40" i="13"/>
  <c r="G39" i="13"/>
  <c r="N39" i="13"/>
  <c r="X39" i="13"/>
  <c r="AF39" i="13"/>
  <c r="G38" i="13"/>
  <c r="N38" i="13"/>
  <c r="X38" i="13"/>
  <c r="AF38" i="13"/>
  <c r="G37" i="13"/>
  <c r="N37" i="13"/>
  <c r="X37" i="13"/>
  <c r="AF37" i="13"/>
  <c r="G36" i="13"/>
  <c r="N36" i="13"/>
  <c r="X36" i="13"/>
  <c r="AF36" i="13"/>
  <c r="G35" i="13"/>
  <c r="N35" i="13"/>
  <c r="X35" i="13"/>
  <c r="AF35" i="13"/>
  <c r="G34" i="13"/>
  <c r="N34" i="13"/>
  <c r="X34" i="13"/>
  <c r="AF34" i="13"/>
  <c r="G33" i="13"/>
  <c r="N33" i="13"/>
  <c r="X33" i="13"/>
  <c r="AF33" i="13"/>
  <c r="G32" i="13"/>
  <c r="N32" i="13"/>
  <c r="X32" i="13"/>
  <c r="AF32" i="13"/>
  <c r="G31" i="13"/>
  <c r="N31" i="13"/>
  <c r="X31" i="13"/>
  <c r="AF31" i="13"/>
  <c r="G30" i="13"/>
  <c r="N30" i="13"/>
  <c r="X30" i="13"/>
  <c r="AF30" i="13"/>
  <c r="G29" i="13"/>
  <c r="N29" i="13"/>
  <c r="X29" i="13"/>
  <c r="AF29" i="13"/>
  <c r="G28" i="13"/>
  <c r="N28" i="13"/>
  <c r="X28" i="13"/>
  <c r="AF28" i="13"/>
  <c r="G27" i="13"/>
  <c r="N27" i="13"/>
  <c r="X27" i="13"/>
  <c r="AF27" i="13"/>
  <c r="G26" i="13"/>
  <c r="N26" i="13"/>
  <c r="X26" i="13"/>
  <c r="AF26" i="13"/>
  <c r="G25" i="13"/>
  <c r="N25" i="13"/>
  <c r="X25" i="13"/>
  <c r="AF25" i="13"/>
  <c r="G24" i="13"/>
  <c r="N24" i="13"/>
  <c r="X24" i="13"/>
  <c r="AF24" i="13"/>
  <c r="G23" i="13"/>
  <c r="N23" i="13"/>
  <c r="X23" i="13"/>
  <c r="AF23" i="13"/>
  <c r="G22" i="13"/>
  <c r="N22" i="13"/>
  <c r="X22" i="13"/>
  <c r="AF22" i="13"/>
  <c r="G21" i="13"/>
  <c r="N21" i="13"/>
  <c r="X21" i="13"/>
  <c r="AF21" i="13"/>
  <c r="G20" i="13"/>
  <c r="N20" i="13"/>
  <c r="X20" i="13"/>
  <c r="AF20" i="13"/>
  <c r="G19" i="13"/>
  <c r="N19" i="13"/>
  <c r="X19" i="13"/>
  <c r="AF19" i="13"/>
  <c r="G18" i="13"/>
  <c r="N18" i="13"/>
  <c r="X18" i="13"/>
  <c r="AF18" i="13"/>
  <c r="G17" i="13"/>
  <c r="N17" i="13"/>
  <c r="X17" i="13"/>
  <c r="AF17" i="13"/>
  <c r="G16" i="13"/>
  <c r="N16" i="13"/>
  <c r="X16" i="13"/>
  <c r="AF16" i="13"/>
  <c r="G15" i="13"/>
  <c r="N15" i="13"/>
  <c r="X15" i="13"/>
  <c r="AF15" i="13"/>
  <c r="G14" i="13"/>
  <c r="N14" i="13"/>
  <c r="X14" i="13"/>
  <c r="AF14" i="13"/>
  <c r="G13" i="13"/>
  <c r="N13" i="13"/>
  <c r="X13" i="13"/>
  <c r="AF13" i="13"/>
  <c r="G12" i="13"/>
  <c r="N12" i="13"/>
  <c r="X12" i="13"/>
  <c r="AF12" i="13"/>
  <c r="G11" i="13"/>
  <c r="N11" i="13"/>
  <c r="X11" i="13"/>
  <c r="AF11" i="13"/>
  <c r="G10" i="13"/>
  <c r="N10" i="13"/>
  <c r="X10" i="13"/>
  <c r="AF10" i="13"/>
  <c r="G9" i="13"/>
  <c r="N9" i="13"/>
  <c r="X9" i="13"/>
  <c r="AF9" i="13"/>
  <c r="G8" i="13"/>
  <c r="N8" i="13"/>
  <c r="X8" i="13"/>
  <c r="AF8" i="13"/>
  <c r="G7" i="13"/>
  <c r="N7" i="13"/>
  <c r="X7" i="13"/>
  <c r="AF7" i="13"/>
  <c r="G6" i="13"/>
  <c r="N6" i="13"/>
  <c r="X6" i="13"/>
  <c r="AF6" i="13"/>
  <c r="G5" i="13"/>
  <c r="N5" i="13"/>
  <c r="X5" i="13"/>
  <c r="AF5" i="13"/>
  <c r="G4" i="13"/>
  <c r="N4" i="13"/>
  <c r="X4" i="13"/>
  <c r="AF4" i="13"/>
  <c r="D15" i="17" s="1"/>
  <c r="E15" i="17" s="1"/>
  <c r="G50" i="12"/>
  <c r="N50" i="12"/>
  <c r="X50" i="12"/>
  <c r="AF50" i="12"/>
  <c r="G49" i="12"/>
  <c r="N49" i="12"/>
  <c r="X49" i="12"/>
  <c r="AF49" i="12"/>
  <c r="G48" i="12"/>
  <c r="N48" i="12"/>
  <c r="X48" i="12"/>
  <c r="AF48" i="12"/>
  <c r="G47" i="12"/>
  <c r="N47" i="12"/>
  <c r="X47" i="12"/>
  <c r="AF47" i="12"/>
  <c r="G46" i="12"/>
  <c r="N46" i="12"/>
  <c r="X46" i="12"/>
  <c r="AF46" i="12"/>
  <c r="G45" i="12"/>
  <c r="N45" i="12"/>
  <c r="X45" i="12"/>
  <c r="AF45" i="12"/>
  <c r="G44" i="12"/>
  <c r="N44" i="12"/>
  <c r="X44" i="12"/>
  <c r="AF44" i="12"/>
  <c r="G43" i="12"/>
  <c r="N43" i="12"/>
  <c r="X43" i="12"/>
  <c r="AF43" i="12"/>
  <c r="G42" i="12"/>
  <c r="N42" i="12"/>
  <c r="X42" i="12"/>
  <c r="AF42" i="12"/>
  <c r="G41" i="12"/>
  <c r="N41" i="12"/>
  <c r="X41" i="12"/>
  <c r="AF41" i="12"/>
  <c r="G40" i="12"/>
  <c r="N40" i="12"/>
  <c r="X40" i="12"/>
  <c r="AF40" i="12"/>
  <c r="G39" i="12"/>
  <c r="N39" i="12"/>
  <c r="X39" i="12"/>
  <c r="AF39" i="12"/>
  <c r="G38" i="12"/>
  <c r="N38" i="12"/>
  <c r="X38" i="12"/>
  <c r="AF38" i="12"/>
  <c r="G37" i="12"/>
  <c r="N37" i="12"/>
  <c r="X37" i="12"/>
  <c r="AF37" i="12"/>
  <c r="G36" i="12"/>
  <c r="N36" i="12"/>
  <c r="X36" i="12"/>
  <c r="AF36" i="12"/>
  <c r="G35" i="12"/>
  <c r="N35" i="12"/>
  <c r="X35" i="12"/>
  <c r="AF35" i="12"/>
  <c r="G34" i="12"/>
  <c r="N34" i="12"/>
  <c r="X34" i="12"/>
  <c r="AF34" i="12"/>
  <c r="G33" i="12"/>
  <c r="N33" i="12"/>
  <c r="X33" i="12"/>
  <c r="AF33" i="12"/>
  <c r="G32" i="12"/>
  <c r="N32" i="12"/>
  <c r="X32" i="12"/>
  <c r="AF32" i="12"/>
  <c r="G31" i="12"/>
  <c r="N31" i="12"/>
  <c r="X31" i="12"/>
  <c r="AF31" i="12"/>
  <c r="G30" i="12"/>
  <c r="N30" i="12"/>
  <c r="X30" i="12"/>
  <c r="AF30" i="12"/>
  <c r="G29" i="12"/>
  <c r="N29" i="12"/>
  <c r="X29" i="12"/>
  <c r="AF29" i="12"/>
  <c r="G28" i="12"/>
  <c r="N28" i="12"/>
  <c r="X28" i="12"/>
  <c r="AF28" i="12"/>
  <c r="G27" i="12"/>
  <c r="N27" i="12"/>
  <c r="X27" i="12"/>
  <c r="AF27" i="12"/>
  <c r="G26" i="12"/>
  <c r="N26" i="12"/>
  <c r="X26" i="12"/>
  <c r="AF26" i="12"/>
  <c r="G25" i="12"/>
  <c r="N25" i="12"/>
  <c r="X25" i="12"/>
  <c r="AF25" i="12"/>
  <c r="G24" i="12"/>
  <c r="N24" i="12"/>
  <c r="X24" i="12"/>
  <c r="AF24" i="12"/>
  <c r="G23" i="12"/>
  <c r="N23" i="12"/>
  <c r="X23" i="12"/>
  <c r="AF23" i="12"/>
  <c r="G22" i="12"/>
  <c r="N22" i="12"/>
  <c r="X22" i="12"/>
  <c r="AF22" i="12"/>
  <c r="G21" i="12"/>
  <c r="N21" i="12"/>
  <c r="X21" i="12"/>
  <c r="AF21" i="12"/>
  <c r="G20" i="12"/>
  <c r="N20" i="12"/>
  <c r="X20" i="12"/>
  <c r="AF20" i="12"/>
  <c r="G19" i="12"/>
  <c r="N19" i="12"/>
  <c r="X19" i="12"/>
  <c r="AF19" i="12"/>
  <c r="G18" i="12"/>
  <c r="N18" i="12"/>
  <c r="X18" i="12"/>
  <c r="AF18" i="12"/>
  <c r="G17" i="12"/>
  <c r="N17" i="12"/>
  <c r="X17" i="12"/>
  <c r="AF17" i="12"/>
  <c r="G16" i="12"/>
  <c r="N16" i="12"/>
  <c r="X16" i="12"/>
  <c r="AF16" i="12"/>
  <c r="G15" i="12"/>
  <c r="N15" i="12"/>
  <c r="X15" i="12"/>
  <c r="AF15" i="12"/>
  <c r="G14" i="12"/>
  <c r="N14" i="12"/>
  <c r="X14" i="12"/>
  <c r="AF14" i="12"/>
  <c r="G13" i="12"/>
  <c r="N13" i="12"/>
  <c r="X13" i="12"/>
  <c r="AF13" i="12"/>
  <c r="G12" i="12"/>
  <c r="N12" i="12"/>
  <c r="X12" i="12"/>
  <c r="AF12" i="12"/>
  <c r="G11" i="12"/>
  <c r="N11" i="12"/>
  <c r="X11" i="12"/>
  <c r="AF11" i="12"/>
  <c r="G10" i="12"/>
  <c r="N10" i="12"/>
  <c r="X10" i="12"/>
  <c r="AF10" i="12"/>
  <c r="G9" i="12"/>
  <c r="N9" i="12"/>
  <c r="X9" i="12"/>
  <c r="AF9" i="12"/>
  <c r="G8" i="12"/>
  <c r="N8" i="12"/>
  <c r="X8" i="12"/>
  <c r="AF8" i="12"/>
  <c r="G7" i="12"/>
  <c r="N7" i="12"/>
  <c r="X7" i="12"/>
  <c r="AF7" i="12"/>
  <c r="G6" i="12"/>
  <c r="N6" i="12"/>
  <c r="X6" i="12"/>
  <c r="AF6" i="12"/>
  <c r="G5" i="12"/>
  <c r="N5" i="12"/>
  <c r="X5" i="12"/>
  <c r="AF5" i="12"/>
  <c r="G4" i="12"/>
  <c r="N4" i="12"/>
  <c r="X4" i="12"/>
  <c r="AF4" i="12"/>
  <c r="G50" i="11"/>
  <c r="N50" i="11"/>
  <c r="X50" i="11"/>
  <c r="AF50" i="11"/>
  <c r="G49" i="11"/>
  <c r="N49" i="11"/>
  <c r="X49" i="11"/>
  <c r="AF49" i="11"/>
  <c r="G48" i="11"/>
  <c r="N48" i="11"/>
  <c r="X48" i="11"/>
  <c r="AF48" i="11"/>
  <c r="G47" i="11"/>
  <c r="N47" i="11"/>
  <c r="X47" i="11"/>
  <c r="AF47" i="11"/>
  <c r="G46" i="11"/>
  <c r="N46" i="11"/>
  <c r="X46" i="11"/>
  <c r="AF46" i="11"/>
  <c r="G45" i="11"/>
  <c r="N45" i="11"/>
  <c r="X45" i="11"/>
  <c r="AF45" i="11"/>
  <c r="G44" i="11"/>
  <c r="N44" i="11"/>
  <c r="X44" i="11"/>
  <c r="AF44" i="11"/>
  <c r="G43" i="11"/>
  <c r="N43" i="11"/>
  <c r="X43" i="11"/>
  <c r="AF43" i="11"/>
  <c r="G42" i="11"/>
  <c r="N42" i="11"/>
  <c r="X42" i="11"/>
  <c r="AF42" i="11"/>
  <c r="G41" i="11"/>
  <c r="N41" i="11"/>
  <c r="X41" i="11"/>
  <c r="AF41" i="11"/>
  <c r="G40" i="11"/>
  <c r="N40" i="11"/>
  <c r="X40" i="11"/>
  <c r="AF40" i="11"/>
  <c r="G39" i="11"/>
  <c r="N39" i="11"/>
  <c r="X39" i="11"/>
  <c r="AF39" i="11"/>
  <c r="G38" i="11"/>
  <c r="N38" i="11"/>
  <c r="X38" i="11"/>
  <c r="AF38" i="11"/>
  <c r="G37" i="11"/>
  <c r="N37" i="11"/>
  <c r="X37" i="11"/>
  <c r="AF37" i="11"/>
  <c r="G36" i="11"/>
  <c r="N36" i="11"/>
  <c r="X36" i="11"/>
  <c r="AF36" i="11"/>
  <c r="G35" i="11"/>
  <c r="N35" i="11"/>
  <c r="X35" i="11"/>
  <c r="AF35" i="11"/>
  <c r="G34" i="11"/>
  <c r="N34" i="11"/>
  <c r="X34" i="11"/>
  <c r="AF34" i="11"/>
  <c r="G33" i="11"/>
  <c r="N33" i="11"/>
  <c r="X33" i="11"/>
  <c r="AF33" i="11"/>
  <c r="G32" i="11"/>
  <c r="N32" i="11"/>
  <c r="X32" i="11"/>
  <c r="AF32" i="11"/>
  <c r="G31" i="11"/>
  <c r="N31" i="11"/>
  <c r="X31" i="11"/>
  <c r="AF31" i="11"/>
  <c r="G30" i="11"/>
  <c r="N30" i="11"/>
  <c r="X30" i="11"/>
  <c r="AF30" i="11"/>
  <c r="G29" i="11"/>
  <c r="N29" i="11"/>
  <c r="X29" i="11"/>
  <c r="AF29" i="11"/>
  <c r="G28" i="11"/>
  <c r="N28" i="11"/>
  <c r="X28" i="11"/>
  <c r="AF28" i="11"/>
  <c r="G27" i="11"/>
  <c r="N27" i="11"/>
  <c r="X27" i="11"/>
  <c r="AF27" i="11"/>
  <c r="G26" i="11"/>
  <c r="N26" i="11"/>
  <c r="X26" i="11"/>
  <c r="AF26" i="11"/>
  <c r="G25" i="11"/>
  <c r="N25" i="11"/>
  <c r="X25" i="11"/>
  <c r="AF25" i="11"/>
  <c r="G24" i="11"/>
  <c r="N24" i="11"/>
  <c r="X24" i="11"/>
  <c r="AF24" i="11"/>
  <c r="G23" i="11"/>
  <c r="N23" i="11"/>
  <c r="X23" i="11"/>
  <c r="AF23" i="11"/>
  <c r="G22" i="11"/>
  <c r="N22" i="11"/>
  <c r="X22" i="11"/>
  <c r="AF22" i="11"/>
  <c r="G21" i="11"/>
  <c r="N21" i="11"/>
  <c r="X21" i="11"/>
  <c r="AF21" i="11"/>
  <c r="G20" i="11"/>
  <c r="N20" i="11"/>
  <c r="X20" i="11"/>
  <c r="AF20" i="11"/>
  <c r="G19" i="11"/>
  <c r="N19" i="11"/>
  <c r="X19" i="11"/>
  <c r="AF19" i="11"/>
  <c r="G18" i="11"/>
  <c r="N18" i="11"/>
  <c r="X18" i="11"/>
  <c r="AF18" i="11"/>
  <c r="G17" i="11"/>
  <c r="N17" i="11"/>
  <c r="X17" i="11"/>
  <c r="AF17" i="11"/>
  <c r="G16" i="11"/>
  <c r="N16" i="11"/>
  <c r="X16" i="11"/>
  <c r="AF16" i="11"/>
  <c r="G15" i="11"/>
  <c r="N15" i="11"/>
  <c r="X15" i="11"/>
  <c r="AF15" i="11"/>
  <c r="G14" i="11"/>
  <c r="N14" i="11"/>
  <c r="X14" i="11"/>
  <c r="AF14" i="11"/>
  <c r="G13" i="11"/>
  <c r="N13" i="11"/>
  <c r="X13" i="11"/>
  <c r="AF13" i="11"/>
  <c r="G12" i="11"/>
  <c r="N12" i="11"/>
  <c r="X12" i="11"/>
  <c r="AF12" i="11"/>
  <c r="G11" i="11"/>
  <c r="N11" i="11"/>
  <c r="X11" i="11"/>
  <c r="AF11" i="11"/>
  <c r="G10" i="11"/>
  <c r="N10" i="11"/>
  <c r="X10" i="11"/>
  <c r="AF10" i="11"/>
  <c r="G9" i="11"/>
  <c r="N9" i="11"/>
  <c r="X9" i="11"/>
  <c r="AF9" i="11"/>
  <c r="G8" i="11"/>
  <c r="N8" i="11"/>
  <c r="X8" i="11"/>
  <c r="AF8" i="11"/>
  <c r="G7" i="11"/>
  <c r="N7" i="11"/>
  <c r="X7" i="11"/>
  <c r="AF7" i="11"/>
  <c r="G6" i="11"/>
  <c r="N6" i="11"/>
  <c r="X6" i="11"/>
  <c r="AF6" i="11"/>
  <c r="G5" i="11"/>
  <c r="N5" i="11"/>
  <c r="X5" i="11"/>
  <c r="AF5" i="11"/>
  <c r="G4" i="11"/>
  <c r="N4" i="11"/>
  <c r="X4" i="11"/>
  <c r="AF4" i="11"/>
  <c r="D13" i="17" s="1"/>
  <c r="E13" i="17" s="1"/>
  <c r="G50" i="10"/>
  <c r="N50" i="10"/>
  <c r="X50" i="10"/>
  <c r="AF50" i="10"/>
  <c r="G49" i="10"/>
  <c r="N49" i="10"/>
  <c r="X49" i="10"/>
  <c r="AF49" i="10"/>
  <c r="G48" i="10"/>
  <c r="N48" i="10"/>
  <c r="X48" i="10"/>
  <c r="AF48" i="10"/>
  <c r="G47" i="10"/>
  <c r="N47" i="10"/>
  <c r="X47" i="10"/>
  <c r="AF47" i="10"/>
  <c r="G46" i="10"/>
  <c r="N46" i="10"/>
  <c r="X46" i="10"/>
  <c r="AF46" i="10"/>
  <c r="G45" i="10"/>
  <c r="N45" i="10"/>
  <c r="X45" i="10"/>
  <c r="AF45" i="10"/>
  <c r="G44" i="10"/>
  <c r="N44" i="10"/>
  <c r="X44" i="10"/>
  <c r="AF44" i="10"/>
  <c r="G43" i="10"/>
  <c r="N43" i="10"/>
  <c r="X43" i="10"/>
  <c r="AF43" i="10"/>
  <c r="G42" i="10"/>
  <c r="N42" i="10"/>
  <c r="X42" i="10"/>
  <c r="AF42" i="10"/>
  <c r="G41" i="10"/>
  <c r="N41" i="10"/>
  <c r="X41" i="10"/>
  <c r="AF41" i="10"/>
  <c r="G40" i="10"/>
  <c r="N40" i="10"/>
  <c r="X40" i="10"/>
  <c r="AF40" i="10"/>
  <c r="G39" i="10"/>
  <c r="N39" i="10"/>
  <c r="X39" i="10"/>
  <c r="AF39" i="10"/>
  <c r="G38" i="10"/>
  <c r="N38" i="10"/>
  <c r="X38" i="10"/>
  <c r="AF38" i="10"/>
  <c r="G37" i="10"/>
  <c r="N37" i="10"/>
  <c r="X37" i="10"/>
  <c r="AF37" i="10"/>
  <c r="G36" i="10"/>
  <c r="N36" i="10"/>
  <c r="X36" i="10"/>
  <c r="AF36" i="10"/>
  <c r="G35" i="10"/>
  <c r="N35" i="10"/>
  <c r="X35" i="10"/>
  <c r="AF35" i="10"/>
  <c r="G34" i="10"/>
  <c r="N34" i="10"/>
  <c r="X34" i="10"/>
  <c r="AF34" i="10"/>
  <c r="G33" i="10"/>
  <c r="N33" i="10"/>
  <c r="X33" i="10"/>
  <c r="AF33" i="10"/>
  <c r="G32" i="10"/>
  <c r="N32" i="10"/>
  <c r="X32" i="10"/>
  <c r="AF32" i="10"/>
  <c r="G31" i="10"/>
  <c r="N31" i="10"/>
  <c r="X31" i="10"/>
  <c r="AF31" i="10"/>
  <c r="G30" i="10"/>
  <c r="N30" i="10"/>
  <c r="X30" i="10"/>
  <c r="AF30" i="10"/>
  <c r="G29" i="10"/>
  <c r="N29" i="10"/>
  <c r="X29" i="10"/>
  <c r="AF29" i="10"/>
  <c r="G28" i="10"/>
  <c r="N28" i="10"/>
  <c r="X28" i="10"/>
  <c r="AF28" i="10"/>
  <c r="G27" i="10"/>
  <c r="N27" i="10"/>
  <c r="X27" i="10"/>
  <c r="AF27" i="10"/>
  <c r="G26" i="10"/>
  <c r="N26" i="10"/>
  <c r="X26" i="10"/>
  <c r="AF26" i="10"/>
  <c r="G25" i="10"/>
  <c r="N25" i="10"/>
  <c r="X25" i="10"/>
  <c r="AF25" i="10"/>
  <c r="G24" i="10"/>
  <c r="N24" i="10"/>
  <c r="X24" i="10"/>
  <c r="AF24" i="10"/>
  <c r="G23" i="10"/>
  <c r="N23" i="10"/>
  <c r="X23" i="10"/>
  <c r="AF23" i="10"/>
  <c r="G22" i="10"/>
  <c r="N22" i="10"/>
  <c r="X22" i="10"/>
  <c r="AF22" i="10"/>
  <c r="G21" i="10"/>
  <c r="N21" i="10"/>
  <c r="X21" i="10"/>
  <c r="AF21" i="10"/>
  <c r="G20" i="10"/>
  <c r="N20" i="10"/>
  <c r="X20" i="10"/>
  <c r="AF20" i="10"/>
  <c r="G19" i="10"/>
  <c r="N19" i="10"/>
  <c r="X19" i="10"/>
  <c r="AF19" i="10"/>
  <c r="G18" i="10"/>
  <c r="N18" i="10"/>
  <c r="X18" i="10"/>
  <c r="AF18" i="10"/>
  <c r="G17" i="10"/>
  <c r="N17" i="10"/>
  <c r="X17" i="10"/>
  <c r="AF17" i="10"/>
  <c r="G16" i="10"/>
  <c r="N16" i="10"/>
  <c r="X16" i="10"/>
  <c r="AF16" i="10"/>
  <c r="G15" i="10"/>
  <c r="N15" i="10"/>
  <c r="X15" i="10"/>
  <c r="AF15" i="10"/>
  <c r="G14" i="10"/>
  <c r="N14" i="10"/>
  <c r="X14" i="10"/>
  <c r="AF14" i="10"/>
  <c r="G13" i="10"/>
  <c r="N13" i="10"/>
  <c r="X13" i="10"/>
  <c r="AF13" i="10"/>
  <c r="G12" i="10"/>
  <c r="N12" i="10"/>
  <c r="X12" i="10"/>
  <c r="AF12" i="10"/>
  <c r="G11" i="10"/>
  <c r="N11" i="10"/>
  <c r="X11" i="10"/>
  <c r="AF11" i="10"/>
  <c r="G10" i="10"/>
  <c r="N10" i="10"/>
  <c r="X10" i="10"/>
  <c r="AF10" i="10"/>
  <c r="G9" i="10"/>
  <c r="N9" i="10"/>
  <c r="X9" i="10"/>
  <c r="AF9" i="10"/>
  <c r="G8" i="10"/>
  <c r="N8" i="10"/>
  <c r="X8" i="10"/>
  <c r="AF8" i="10"/>
  <c r="G7" i="10"/>
  <c r="N7" i="10"/>
  <c r="X7" i="10"/>
  <c r="AF7" i="10"/>
  <c r="G6" i="10"/>
  <c r="N6" i="10"/>
  <c r="X6" i="10"/>
  <c r="AF6" i="10"/>
  <c r="G5" i="10"/>
  <c r="N5" i="10"/>
  <c r="X5" i="10"/>
  <c r="AF5" i="10"/>
  <c r="G4" i="10"/>
  <c r="N4" i="10"/>
  <c r="X4" i="10"/>
  <c r="AF4" i="10"/>
  <c r="D12" i="17" s="1"/>
  <c r="E12" i="17" s="1"/>
  <c r="G50" i="9"/>
  <c r="X50" i="9"/>
  <c r="AF50" i="9"/>
  <c r="G49" i="9"/>
  <c r="X49" i="9"/>
  <c r="AF49" i="9"/>
  <c r="G48" i="9"/>
  <c r="X48" i="9"/>
  <c r="AF48" i="9"/>
  <c r="G47" i="9"/>
  <c r="X47" i="9"/>
  <c r="AF47" i="9"/>
  <c r="G46" i="9"/>
  <c r="X46" i="9"/>
  <c r="AF46" i="9"/>
  <c r="G45" i="9"/>
  <c r="X45" i="9"/>
  <c r="AF45" i="9"/>
  <c r="G44" i="9"/>
  <c r="X44" i="9"/>
  <c r="AF44" i="9"/>
  <c r="G43" i="9"/>
  <c r="X43" i="9"/>
  <c r="AF43" i="9"/>
  <c r="G42" i="9"/>
  <c r="X42" i="9"/>
  <c r="AF42" i="9"/>
  <c r="G41" i="9"/>
  <c r="X41" i="9"/>
  <c r="AF41" i="9"/>
  <c r="G40" i="9"/>
  <c r="X40" i="9"/>
  <c r="AF40" i="9"/>
  <c r="G39" i="9"/>
  <c r="X39" i="9"/>
  <c r="AF39" i="9"/>
  <c r="G38" i="9"/>
  <c r="X38" i="9"/>
  <c r="AF38" i="9"/>
  <c r="G37" i="9"/>
  <c r="X37" i="9"/>
  <c r="AF37" i="9"/>
  <c r="G36" i="9"/>
  <c r="X36" i="9"/>
  <c r="AF36" i="9"/>
  <c r="G35" i="9"/>
  <c r="X35" i="9"/>
  <c r="AF35" i="9"/>
  <c r="G34" i="9"/>
  <c r="X34" i="9"/>
  <c r="AF34" i="9"/>
  <c r="G33" i="9"/>
  <c r="X33" i="9"/>
  <c r="AF33" i="9"/>
  <c r="G32" i="9"/>
  <c r="X32" i="9"/>
  <c r="AF32" i="9"/>
  <c r="G31" i="9"/>
  <c r="X31" i="9"/>
  <c r="AF31" i="9"/>
  <c r="G30" i="9"/>
  <c r="X30" i="9"/>
  <c r="AF30" i="9"/>
  <c r="G29" i="9"/>
  <c r="X29" i="9"/>
  <c r="AF29" i="9"/>
  <c r="G28" i="9"/>
  <c r="X28" i="9"/>
  <c r="AF28" i="9"/>
  <c r="G27" i="9"/>
  <c r="X27" i="9"/>
  <c r="AF27" i="9"/>
  <c r="G26" i="9"/>
  <c r="X26" i="9"/>
  <c r="AF26" i="9"/>
  <c r="G25" i="9"/>
  <c r="X25" i="9"/>
  <c r="AF25" i="9"/>
  <c r="G24" i="9"/>
  <c r="X24" i="9"/>
  <c r="AF24" i="9"/>
  <c r="G23" i="9"/>
  <c r="X23" i="9"/>
  <c r="AF23" i="9"/>
  <c r="G22" i="9"/>
  <c r="X22" i="9"/>
  <c r="AF22" i="9"/>
  <c r="G21" i="9"/>
  <c r="X21" i="9"/>
  <c r="AF21" i="9"/>
  <c r="G20" i="9"/>
  <c r="X20" i="9"/>
  <c r="AF20" i="9"/>
  <c r="G19" i="9"/>
  <c r="X19" i="9"/>
  <c r="AF19" i="9"/>
  <c r="G18" i="9"/>
  <c r="X18" i="9"/>
  <c r="AF18" i="9"/>
  <c r="G17" i="9"/>
  <c r="X17" i="9"/>
  <c r="AF17" i="9"/>
  <c r="G16" i="9"/>
  <c r="X16" i="9"/>
  <c r="AF16" i="9"/>
  <c r="G15" i="9"/>
  <c r="X15" i="9"/>
  <c r="AF15" i="9"/>
  <c r="G14" i="9"/>
  <c r="X14" i="9"/>
  <c r="AF14" i="9"/>
  <c r="G13" i="9"/>
  <c r="X13" i="9"/>
  <c r="AF13" i="9"/>
  <c r="G12" i="9"/>
  <c r="X12" i="9"/>
  <c r="AF12" i="9"/>
  <c r="G11" i="9"/>
  <c r="X11" i="9"/>
  <c r="AF11" i="9"/>
  <c r="G10" i="9"/>
  <c r="X10" i="9"/>
  <c r="AF10" i="9"/>
  <c r="G9" i="9"/>
  <c r="X9" i="9"/>
  <c r="AF9" i="9"/>
  <c r="G8" i="9"/>
  <c r="X8" i="9"/>
  <c r="AF8" i="9"/>
  <c r="G7" i="9"/>
  <c r="X7" i="9"/>
  <c r="AF7" i="9"/>
  <c r="G6" i="9"/>
  <c r="X6" i="9"/>
  <c r="AF6" i="9"/>
  <c r="G5" i="9"/>
  <c r="X5" i="9"/>
  <c r="AF5" i="9"/>
  <c r="G4" i="9"/>
  <c r="X4" i="9"/>
  <c r="AF4" i="9"/>
  <c r="D11" i="17" s="1"/>
  <c r="E11" i="17" s="1"/>
  <c r="G50" i="8"/>
  <c r="X50" i="8"/>
  <c r="AF50" i="8"/>
  <c r="G49" i="8"/>
  <c r="X49" i="8"/>
  <c r="AF49" i="8"/>
  <c r="G48" i="8"/>
  <c r="X48" i="8"/>
  <c r="AF48" i="8"/>
  <c r="G47" i="8"/>
  <c r="X47" i="8"/>
  <c r="AF47" i="8"/>
  <c r="G46" i="8"/>
  <c r="X46" i="8"/>
  <c r="AF46" i="8"/>
  <c r="G45" i="8"/>
  <c r="X45" i="8"/>
  <c r="AF45" i="8"/>
  <c r="G44" i="8"/>
  <c r="X44" i="8"/>
  <c r="AF44" i="8"/>
  <c r="G43" i="8"/>
  <c r="X43" i="8"/>
  <c r="AF43" i="8"/>
  <c r="G42" i="8"/>
  <c r="X42" i="8"/>
  <c r="AF42" i="8"/>
  <c r="G41" i="8"/>
  <c r="X41" i="8"/>
  <c r="AF41" i="8"/>
  <c r="G40" i="8"/>
  <c r="X40" i="8"/>
  <c r="AF40" i="8"/>
  <c r="G39" i="8"/>
  <c r="X39" i="8"/>
  <c r="AF39" i="8"/>
  <c r="G38" i="8"/>
  <c r="X38" i="8"/>
  <c r="AF38" i="8"/>
  <c r="G37" i="8"/>
  <c r="X37" i="8"/>
  <c r="AF37" i="8"/>
  <c r="G36" i="8"/>
  <c r="X36" i="8"/>
  <c r="AF36" i="8"/>
  <c r="G35" i="8"/>
  <c r="X35" i="8"/>
  <c r="AF35" i="8"/>
  <c r="G34" i="8"/>
  <c r="X34" i="8"/>
  <c r="AF34" i="8"/>
  <c r="G33" i="8"/>
  <c r="X33" i="8"/>
  <c r="AF33" i="8"/>
  <c r="G32" i="8"/>
  <c r="X32" i="8"/>
  <c r="AF32" i="8"/>
  <c r="G31" i="8"/>
  <c r="X31" i="8"/>
  <c r="AF31" i="8"/>
  <c r="G30" i="8"/>
  <c r="X30" i="8"/>
  <c r="AF30" i="8"/>
  <c r="G29" i="8"/>
  <c r="X29" i="8"/>
  <c r="AF29" i="8"/>
  <c r="G28" i="8"/>
  <c r="X28" i="8"/>
  <c r="AF28" i="8"/>
  <c r="G27" i="8"/>
  <c r="X27" i="8"/>
  <c r="AF27" i="8"/>
  <c r="G26" i="8"/>
  <c r="X26" i="8"/>
  <c r="AF26" i="8"/>
  <c r="G25" i="8"/>
  <c r="X25" i="8"/>
  <c r="AF25" i="8"/>
  <c r="G24" i="8"/>
  <c r="X24" i="8"/>
  <c r="AF24" i="8"/>
  <c r="G23" i="8"/>
  <c r="X23" i="8"/>
  <c r="AF23" i="8"/>
  <c r="G22" i="8"/>
  <c r="X22" i="8"/>
  <c r="AF22" i="8"/>
  <c r="G21" i="8"/>
  <c r="X21" i="8"/>
  <c r="AF21" i="8"/>
  <c r="G20" i="8"/>
  <c r="X20" i="8"/>
  <c r="AF20" i="8"/>
  <c r="G19" i="8"/>
  <c r="X19" i="8"/>
  <c r="AF19" i="8"/>
  <c r="G18" i="8"/>
  <c r="X18" i="8"/>
  <c r="AF18" i="8"/>
  <c r="G17" i="8"/>
  <c r="X17" i="8"/>
  <c r="AF17" i="8"/>
  <c r="G16" i="8"/>
  <c r="X16" i="8"/>
  <c r="AF16" i="8"/>
  <c r="G15" i="8"/>
  <c r="X15" i="8"/>
  <c r="AF15" i="8"/>
  <c r="G14" i="8"/>
  <c r="X14" i="8"/>
  <c r="AF14" i="8"/>
  <c r="G13" i="8"/>
  <c r="X13" i="8"/>
  <c r="AF13" i="8"/>
  <c r="G12" i="8"/>
  <c r="X12" i="8"/>
  <c r="AF12" i="8"/>
  <c r="G11" i="8"/>
  <c r="X11" i="8"/>
  <c r="AF11" i="8"/>
  <c r="G10" i="8"/>
  <c r="X10" i="8"/>
  <c r="AF10" i="8"/>
  <c r="G9" i="8"/>
  <c r="X9" i="8"/>
  <c r="AF9" i="8"/>
  <c r="G8" i="8"/>
  <c r="X8" i="8"/>
  <c r="AF8" i="8"/>
  <c r="G7" i="8"/>
  <c r="X7" i="8"/>
  <c r="AF7" i="8"/>
  <c r="G6" i="8"/>
  <c r="X6" i="8"/>
  <c r="AF6" i="8"/>
  <c r="G5" i="8"/>
  <c r="X5" i="8"/>
  <c r="AF5" i="8"/>
  <c r="G4" i="8"/>
  <c r="X4" i="8"/>
  <c r="AF4" i="8"/>
  <c r="G50" i="6"/>
  <c r="N50" i="6"/>
  <c r="X50" i="6"/>
  <c r="AF50" i="6"/>
  <c r="G49" i="6"/>
  <c r="N49" i="6"/>
  <c r="X49" i="6"/>
  <c r="AF49" i="6"/>
  <c r="G48" i="6"/>
  <c r="N48" i="6"/>
  <c r="X48" i="6"/>
  <c r="AF48" i="6"/>
  <c r="G47" i="6"/>
  <c r="N47" i="6"/>
  <c r="X47" i="6"/>
  <c r="AF47" i="6"/>
  <c r="G46" i="6"/>
  <c r="N46" i="6"/>
  <c r="X46" i="6"/>
  <c r="AF46" i="6"/>
  <c r="G45" i="6"/>
  <c r="N45" i="6"/>
  <c r="X45" i="6"/>
  <c r="AF45" i="6"/>
  <c r="G44" i="6"/>
  <c r="N44" i="6"/>
  <c r="X44" i="6"/>
  <c r="AF44" i="6"/>
  <c r="G43" i="6"/>
  <c r="N43" i="6"/>
  <c r="X43" i="6"/>
  <c r="AF43" i="6"/>
  <c r="G42" i="6"/>
  <c r="N42" i="6"/>
  <c r="X42" i="6"/>
  <c r="AF42" i="6"/>
  <c r="G41" i="6"/>
  <c r="N41" i="6"/>
  <c r="X41" i="6"/>
  <c r="AF41" i="6"/>
  <c r="G40" i="6"/>
  <c r="N40" i="6"/>
  <c r="X40" i="6"/>
  <c r="AF40" i="6"/>
  <c r="G39" i="6"/>
  <c r="N39" i="6"/>
  <c r="X39" i="6"/>
  <c r="AF39" i="6"/>
  <c r="G38" i="6"/>
  <c r="N38" i="6"/>
  <c r="X38" i="6"/>
  <c r="AF38" i="6"/>
  <c r="G37" i="6"/>
  <c r="N37" i="6"/>
  <c r="X37" i="6"/>
  <c r="AF37" i="6"/>
  <c r="G36" i="6"/>
  <c r="N36" i="6"/>
  <c r="X36" i="6"/>
  <c r="AF36" i="6"/>
  <c r="G35" i="6"/>
  <c r="N35" i="6"/>
  <c r="X35" i="6"/>
  <c r="AF35" i="6"/>
  <c r="G34" i="6"/>
  <c r="N34" i="6"/>
  <c r="X34" i="6"/>
  <c r="AF34" i="6"/>
  <c r="G33" i="6"/>
  <c r="N33" i="6"/>
  <c r="X33" i="6"/>
  <c r="AF33" i="6"/>
  <c r="G32" i="6"/>
  <c r="N32" i="6"/>
  <c r="X32" i="6"/>
  <c r="AF32" i="6"/>
  <c r="G31" i="6"/>
  <c r="N31" i="6"/>
  <c r="X31" i="6"/>
  <c r="AF31" i="6"/>
  <c r="G30" i="6"/>
  <c r="N30" i="6"/>
  <c r="X30" i="6"/>
  <c r="AF30" i="6"/>
  <c r="G29" i="6"/>
  <c r="N29" i="6"/>
  <c r="X29" i="6"/>
  <c r="AF29" i="6"/>
  <c r="G28" i="6"/>
  <c r="N28" i="6"/>
  <c r="X28" i="6"/>
  <c r="AF28" i="6"/>
  <c r="G27" i="6"/>
  <c r="N27" i="6"/>
  <c r="X27" i="6"/>
  <c r="AF27" i="6"/>
  <c r="G26" i="6"/>
  <c r="N26" i="6"/>
  <c r="X26" i="6"/>
  <c r="AF26" i="6"/>
  <c r="G25" i="6"/>
  <c r="N25" i="6"/>
  <c r="X25" i="6"/>
  <c r="AF25" i="6"/>
  <c r="G24" i="6"/>
  <c r="N24" i="6"/>
  <c r="X24" i="6"/>
  <c r="AF24" i="6"/>
  <c r="G23" i="6"/>
  <c r="N23" i="6"/>
  <c r="X23" i="6"/>
  <c r="AF23" i="6"/>
  <c r="G22" i="6"/>
  <c r="N22" i="6"/>
  <c r="X22" i="6"/>
  <c r="AF22" i="6"/>
  <c r="G21" i="6"/>
  <c r="N21" i="6"/>
  <c r="X21" i="6"/>
  <c r="AF21" i="6"/>
  <c r="G20" i="6"/>
  <c r="N20" i="6"/>
  <c r="X20" i="6"/>
  <c r="AF20" i="6"/>
  <c r="G19" i="6"/>
  <c r="N19" i="6"/>
  <c r="X19" i="6"/>
  <c r="AF19" i="6"/>
  <c r="G18" i="6"/>
  <c r="N18" i="6"/>
  <c r="X18" i="6"/>
  <c r="AF18" i="6"/>
  <c r="G17" i="6"/>
  <c r="N17" i="6"/>
  <c r="X17" i="6"/>
  <c r="AF17" i="6"/>
  <c r="G16" i="6"/>
  <c r="N16" i="6"/>
  <c r="X16" i="6"/>
  <c r="AF16" i="6"/>
  <c r="G15" i="6"/>
  <c r="N15" i="6"/>
  <c r="X15" i="6"/>
  <c r="AF15" i="6"/>
  <c r="G14" i="6"/>
  <c r="N14" i="6"/>
  <c r="X14" i="6"/>
  <c r="AF14" i="6"/>
  <c r="G13" i="6"/>
  <c r="N13" i="6"/>
  <c r="X13" i="6"/>
  <c r="AF13" i="6"/>
  <c r="G12" i="6"/>
  <c r="N12" i="6"/>
  <c r="X12" i="6"/>
  <c r="AF12" i="6"/>
  <c r="G11" i="6"/>
  <c r="N11" i="6"/>
  <c r="X11" i="6"/>
  <c r="AF11" i="6"/>
  <c r="G10" i="6"/>
  <c r="N10" i="6"/>
  <c r="X10" i="6"/>
  <c r="AF10" i="6"/>
  <c r="G9" i="6"/>
  <c r="N9" i="6"/>
  <c r="X9" i="6"/>
  <c r="AF9" i="6"/>
  <c r="G8" i="6"/>
  <c r="N8" i="6"/>
  <c r="X8" i="6"/>
  <c r="AF8" i="6"/>
  <c r="G7" i="6"/>
  <c r="N7" i="6"/>
  <c r="X7" i="6"/>
  <c r="AF7" i="6"/>
  <c r="G6" i="6"/>
  <c r="N6" i="6"/>
  <c r="X6" i="6"/>
  <c r="AF6" i="6"/>
  <c r="G5" i="6"/>
  <c r="N5" i="6"/>
  <c r="X5" i="6"/>
  <c r="AF5" i="6"/>
  <c r="G4" i="6"/>
  <c r="N4" i="6"/>
  <c r="X4" i="6"/>
  <c r="AF4" i="6"/>
  <c r="D9" i="17" s="1"/>
  <c r="E9" i="17" s="1"/>
  <c r="G50" i="5"/>
  <c r="X50" i="5"/>
  <c r="AF50" i="5"/>
  <c r="G49" i="5"/>
  <c r="X49" i="5"/>
  <c r="AF49" i="5"/>
  <c r="G48" i="5"/>
  <c r="X48" i="5"/>
  <c r="AF48" i="5"/>
  <c r="G47" i="5"/>
  <c r="X47" i="5"/>
  <c r="AF47" i="5"/>
  <c r="G46" i="5"/>
  <c r="X46" i="5"/>
  <c r="AF46" i="5"/>
  <c r="G45" i="5"/>
  <c r="X45" i="5"/>
  <c r="AF45" i="5"/>
  <c r="G44" i="5"/>
  <c r="X44" i="5"/>
  <c r="AF44" i="5"/>
  <c r="G43" i="5"/>
  <c r="X43" i="5"/>
  <c r="AF43" i="5"/>
  <c r="G42" i="5"/>
  <c r="X42" i="5"/>
  <c r="AF42" i="5"/>
  <c r="G41" i="5"/>
  <c r="X41" i="5"/>
  <c r="AF41" i="5"/>
  <c r="G40" i="5"/>
  <c r="X40" i="5"/>
  <c r="AF40" i="5"/>
  <c r="G39" i="5"/>
  <c r="X39" i="5"/>
  <c r="AF39" i="5"/>
  <c r="G38" i="5"/>
  <c r="X38" i="5"/>
  <c r="AF38" i="5"/>
  <c r="G37" i="5"/>
  <c r="X37" i="5"/>
  <c r="AF37" i="5"/>
  <c r="G36" i="5"/>
  <c r="X36" i="5"/>
  <c r="AF36" i="5"/>
  <c r="G35" i="5"/>
  <c r="X35" i="5"/>
  <c r="AF35" i="5"/>
  <c r="G34" i="5"/>
  <c r="X34" i="5"/>
  <c r="AF34" i="5"/>
  <c r="G33" i="5"/>
  <c r="X33" i="5"/>
  <c r="AF33" i="5"/>
  <c r="G32" i="5"/>
  <c r="X32" i="5"/>
  <c r="AF32" i="5"/>
  <c r="G31" i="5"/>
  <c r="X31" i="5"/>
  <c r="AF31" i="5"/>
  <c r="G30" i="5"/>
  <c r="X30" i="5"/>
  <c r="AF30" i="5"/>
  <c r="G29" i="5"/>
  <c r="X29" i="5"/>
  <c r="AF29" i="5"/>
  <c r="G28" i="5"/>
  <c r="X28" i="5"/>
  <c r="AF28" i="5"/>
  <c r="G27" i="5"/>
  <c r="X27" i="5"/>
  <c r="AF27" i="5"/>
  <c r="G26" i="5"/>
  <c r="X26" i="5"/>
  <c r="AF26" i="5"/>
  <c r="G25" i="5"/>
  <c r="X25" i="5"/>
  <c r="AF25" i="5"/>
  <c r="G24" i="5"/>
  <c r="X24" i="5"/>
  <c r="AF24" i="5"/>
  <c r="G23" i="5"/>
  <c r="X23" i="5"/>
  <c r="AF23" i="5"/>
  <c r="G22" i="5"/>
  <c r="X22" i="5"/>
  <c r="AF22" i="5"/>
  <c r="G21" i="5"/>
  <c r="X21" i="5"/>
  <c r="AF21" i="5"/>
  <c r="G20" i="5"/>
  <c r="X20" i="5"/>
  <c r="AF20" i="5"/>
  <c r="G19" i="5"/>
  <c r="X19" i="5"/>
  <c r="AF19" i="5"/>
  <c r="G18" i="5"/>
  <c r="X18" i="5"/>
  <c r="AF18" i="5"/>
  <c r="G17" i="5"/>
  <c r="X17" i="5"/>
  <c r="AF17" i="5"/>
  <c r="G16" i="5"/>
  <c r="X16" i="5"/>
  <c r="AF16" i="5"/>
  <c r="G15" i="5"/>
  <c r="X15" i="5"/>
  <c r="AF15" i="5"/>
  <c r="G14" i="5"/>
  <c r="X14" i="5"/>
  <c r="AF14" i="5"/>
  <c r="G13" i="5"/>
  <c r="X13" i="5"/>
  <c r="AF13" i="5"/>
  <c r="G12" i="5"/>
  <c r="X12" i="5"/>
  <c r="AF12" i="5"/>
  <c r="G11" i="5"/>
  <c r="X11" i="5"/>
  <c r="AF11" i="5"/>
  <c r="G10" i="5"/>
  <c r="X10" i="5"/>
  <c r="AF10" i="5"/>
  <c r="G9" i="5"/>
  <c r="X9" i="5"/>
  <c r="AF9" i="5"/>
  <c r="G8" i="5"/>
  <c r="X8" i="5"/>
  <c r="AF8" i="5"/>
  <c r="G7" i="5"/>
  <c r="X7" i="5"/>
  <c r="AF7" i="5"/>
  <c r="G50" i="1"/>
  <c r="X50" i="1"/>
  <c r="AF50" i="1"/>
  <c r="G49" i="1"/>
  <c r="X49" i="1"/>
  <c r="AF49" i="1"/>
  <c r="G48" i="1"/>
  <c r="X48" i="1"/>
  <c r="AF48" i="1"/>
  <c r="G47" i="1"/>
  <c r="X47" i="1"/>
  <c r="AF47" i="1"/>
  <c r="G46" i="1"/>
  <c r="X46" i="1"/>
  <c r="AF46" i="1"/>
  <c r="G45" i="1"/>
  <c r="X45" i="1"/>
  <c r="AF45" i="1"/>
  <c r="G44" i="1"/>
  <c r="X44" i="1"/>
  <c r="AF44" i="1"/>
  <c r="G43" i="1"/>
  <c r="X43" i="1"/>
  <c r="AF43" i="1"/>
  <c r="G42" i="1"/>
  <c r="X42" i="1"/>
  <c r="AF42" i="1"/>
  <c r="G41" i="1"/>
  <c r="X41" i="1"/>
  <c r="AF41" i="1"/>
  <c r="G40" i="1"/>
  <c r="X40" i="1"/>
  <c r="AF40" i="1"/>
  <c r="G39" i="1"/>
  <c r="X39" i="1"/>
  <c r="AF39" i="1"/>
  <c r="G38" i="1"/>
  <c r="X38" i="1"/>
  <c r="AF38" i="1"/>
  <c r="G37" i="1"/>
  <c r="X37" i="1"/>
  <c r="AF37" i="1"/>
  <c r="G36" i="1"/>
  <c r="X36" i="1"/>
  <c r="AF36" i="1"/>
  <c r="G35" i="1"/>
  <c r="X35" i="1"/>
  <c r="AF35" i="1"/>
  <c r="G34" i="1"/>
  <c r="X34" i="1"/>
  <c r="AF34" i="1"/>
  <c r="G33" i="1"/>
  <c r="X33" i="1"/>
  <c r="AF33" i="1"/>
  <c r="G32" i="1"/>
  <c r="X32" i="1"/>
  <c r="AF32" i="1"/>
  <c r="G31" i="1"/>
  <c r="X31" i="1"/>
  <c r="AF31" i="1"/>
  <c r="G30" i="1"/>
  <c r="X30" i="1"/>
  <c r="AF30" i="1"/>
  <c r="G29" i="1"/>
  <c r="X29" i="1"/>
  <c r="AF29" i="1"/>
  <c r="G28" i="1"/>
  <c r="X28" i="1"/>
  <c r="AF28" i="1"/>
  <c r="G27" i="1"/>
  <c r="X27" i="1"/>
  <c r="AF27" i="1"/>
  <c r="G26" i="1"/>
  <c r="X26" i="1"/>
  <c r="AF26" i="1"/>
  <c r="G25" i="1"/>
  <c r="X25" i="1"/>
  <c r="AF25" i="1"/>
  <c r="G24" i="1"/>
  <c r="X24" i="1"/>
  <c r="AF24" i="1"/>
  <c r="G23" i="1"/>
  <c r="X23" i="1"/>
  <c r="AF23" i="1"/>
  <c r="G22" i="1"/>
  <c r="X22" i="1"/>
  <c r="AF22" i="1"/>
  <c r="G21" i="1"/>
  <c r="X21" i="1"/>
  <c r="AF21" i="1"/>
  <c r="G20" i="1"/>
  <c r="X20" i="1"/>
  <c r="AF20" i="1"/>
  <c r="G19" i="1"/>
  <c r="X19" i="1"/>
  <c r="AF19" i="1"/>
  <c r="G18" i="1"/>
  <c r="X18" i="1"/>
  <c r="AF18" i="1"/>
  <c r="G17" i="1"/>
  <c r="X17" i="1"/>
  <c r="AF17" i="1"/>
  <c r="G16" i="1"/>
  <c r="X16" i="1"/>
  <c r="AF16" i="1"/>
  <c r="G15" i="1"/>
  <c r="X15" i="1"/>
  <c r="AF15" i="1"/>
  <c r="G14" i="1"/>
  <c r="X14" i="1"/>
  <c r="AF14" i="1"/>
  <c r="G13" i="1"/>
  <c r="X13" i="1"/>
  <c r="AF13" i="1"/>
  <c r="G12" i="1"/>
  <c r="X12" i="1"/>
  <c r="AF12" i="1"/>
  <c r="G11" i="1"/>
  <c r="X11" i="1"/>
  <c r="AF11" i="1"/>
  <c r="G10" i="1"/>
  <c r="X10" i="1"/>
  <c r="AF10" i="1"/>
  <c r="G9" i="1"/>
  <c r="X9" i="1"/>
  <c r="AF9" i="1"/>
  <c r="G8" i="1"/>
  <c r="X8" i="1"/>
  <c r="AF8" i="1"/>
  <c r="G7" i="1"/>
  <c r="X7" i="1"/>
  <c r="AF7" i="1"/>
  <c r="G6" i="1"/>
  <c r="X6" i="1"/>
  <c r="AF6" i="1"/>
  <c r="G5" i="1"/>
  <c r="X5" i="1"/>
  <c r="AF5" i="1"/>
  <c r="G4" i="1"/>
  <c r="X4" i="1"/>
  <c r="AF4" i="1"/>
  <c r="G6" i="5"/>
  <c r="X6" i="5"/>
  <c r="AF6" i="5"/>
  <c r="G5" i="5"/>
  <c r="X5" i="5"/>
  <c r="AF5" i="5"/>
  <c r="G4" i="5"/>
  <c r="X4" i="5"/>
  <c r="AF4" i="5"/>
  <c r="D10" i="17" l="1"/>
  <c r="E10" i="17" s="1"/>
  <c r="G3" i="1"/>
  <c r="AF3" i="9" l="1"/>
  <c r="B11" i="17" s="1"/>
  <c r="X3" i="9"/>
  <c r="G3" i="9"/>
  <c r="AF3" i="8"/>
  <c r="B10" i="17" s="1"/>
  <c r="X3" i="8"/>
  <c r="G3" i="8"/>
  <c r="AF3" i="5"/>
  <c r="B8" i="17" s="1"/>
  <c r="X3" i="5"/>
  <c r="G3" i="5"/>
  <c r="T9" i="18" l="1"/>
  <c r="M12" i="18"/>
  <c r="J7" i="18"/>
  <c r="J2" i="18"/>
  <c r="G7" i="18"/>
  <c r="BA13" i="18" l="1"/>
  <c r="AZ13" i="18"/>
  <c r="BA12" i="18"/>
  <c r="AZ12" i="18"/>
  <c r="BA11" i="18"/>
  <c r="AZ11" i="18"/>
  <c r="BA10" i="18"/>
  <c r="AZ10" i="18"/>
  <c r="BA9" i="18"/>
  <c r="AZ9" i="18"/>
  <c r="BA8" i="18"/>
  <c r="AZ8" i="18"/>
  <c r="BA7" i="18"/>
  <c r="AZ7" i="18"/>
  <c r="BA6" i="18"/>
  <c r="BA5" i="18"/>
  <c r="BA4" i="18"/>
  <c r="BA3" i="18"/>
  <c r="BA2" i="18"/>
  <c r="AZ6" i="18"/>
  <c r="AZ5" i="18"/>
  <c r="AZ4" i="18"/>
  <c r="AZ3" i="18"/>
  <c r="AZ2" i="18"/>
  <c r="AY13" i="18" l="1"/>
  <c r="BP3" i="18" s="1"/>
  <c r="AY12" i="18"/>
  <c r="BO3" i="18" s="1"/>
  <c r="AY11" i="18"/>
  <c r="BN2" i="18" s="1"/>
  <c r="AY10" i="18"/>
  <c r="BM2" i="18" s="1"/>
  <c r="AY9" i="18"/>
  <c r="BL3" i="18" s="1"/>
  <c r="AY8" i="18"/>
  <c r="BK2" i="18" s="1"/>
  <c r="AY7" i="18"/>
  <c r="BJ3" i="18" s="1"/>
  <c r="AY6" i="18"/>
  <c r="BI3" i="18" s="1"/>
  <c r="AY4" i="18"/>
  <c r="BG3" i="18" s="1"/>
  <c r="AY2" i="18"/>
  <c r="BE2" i="18" s="1"/>
  <c r="AY3" i="18"/>
  <c r="BF3" i="18" s="1"/>
  <c r="AY5" i="18"/>
  <c r="BH2" i="18" s="1"/>
  <c r="AF13" i="18"/>
  <c r="AF12" i="18"/>
  <c r="AF11" i="18"/>
  <c r="AF10" i="18"/>
  <c r="AF9" i="18"/>
  <c r="AF8" i="18"/>
  <c r="AF7" i="18"/>
  <c r="AF6" i="18"/>
  <c r="AF5" i="18"/>
  <c r="AF4" i="18"/>
  <c r="AF3" i="18"/>
  <c r="AF2" i="18"/>
  <c r="AE13" i="18"/>
  <c r="AE12" i="18"/>
  <c r="AE11" i="18"/>
  <c r="AE10" i="18"/>
  <c r="AE9" i="18"/>
  <c r="AE8" i="18"/>
  <c r="AE7" i="18"/>
  <c r="AE6" i="18"/>
  <c r="AE5" i="18"/>
  <c r="AE4" i="18"/>
  <c r="AE3" i="18"/>
  <c r="AE2" i="18"/>
  <c r="AD13" i="18"/>
  <c r="AD12" i="18"/>
  <c r="AD11" i="18"/>
  <c r="AD10" i="18"/>
  <c r="AD9" i="18"/>
  <c r="AD8" i="18"/>
  <c r="AD7" i="18"/>
  <c r="AD6" i="18"/>
  <c r="AD5" i="18"/>
  <c r="AD4" i="18"/>
  <c r="AD3" i="18"/>
  <c r="AD2" i="18"/>
  <c r="AC13" i="18"/>
  <c r="AC12" i="18"/>
  <c r="AC11" i="18"/>
  <c r="AC10" i="18"/>
  <c r="AC9" i="18"/>
  <c r="AC8" i="18"/>
  <c r="AC7" i="18"/>
  <c r="AC6" i="18"/>
  <c r="AC5" i="18"/>
  <c r="AC4" i="18"/>
  <c r="AC3" i="18"/>
  <c r="AC2" i="18"/>
  <c r="AB13" i="18"/>
  <c r="AB12" i="18"/>
  <c r="AB11" i="18"/>
  <c r="AB10" i="18"/>
  <c r="AB9" i="18"/>
  <c r="AB8" i="18"/>
  <c r="AB7" i="18"/>
  <c r="AB6" i="18"/>
  <c r="AB5" i="18"/>
  <c r="AB4" i="18"/>
  <c r="AB3" i="18"/>
  <c r="AB2" i="18"/>
  <c r="BK3" i="18" l="1"/>
  <c r="BL2" i="18"/>
  <c r="BP2" i="18"/>
  <c r="BO2" i="18"/>
  <c r="BN3" i="18"/>
  <c r="BM3" i="18"/>
  <c r="BJ2" i="18"/>
  <c r="BI2" i="18"/>
  <c r="BH3" i="18"/>
  <c r="BG2" i="18"/>
  <c r="BF2" i="18"/>
  <c r="BE3" i="18"/>
  <c r="AA13" i="18"/>
  <c r="AU4" i="18" s="1"/>
  <c r="AA12" i="18"/>
  <c r="AT4" i="18" s="1"/>
  <c r="AA11" i="18"/>
  <c r="AS2" i="18" s="1"/>
  <c r="AA10" i="18"/>
  <c r="AR4" i="18" s="1"/>
  <c r="AA9" i="18"/>
  <c r="AQ2" i="18" s="1"/>
  <c r="AA8" i="18"/>
  <c r="AP2" i="18" s="1"/>
  <c r="AA7" i="18"/>
  <c r="AO4" i="18" s="1"/>
  <c r="AA6" i="18"/>
  <c r="AN2" i="18" s="1"/>
  <c r="AA5" i="18"/>
  <c r="AM2" i="18" s="1"/>
  <c r="AA4" i="18"/>
  <c r="AL2" i="18" s="1"/>
  <c r="AA3" i="18"/>
  <c r="AK2" i="18" s="1"/>
  <c r="AA2" i="18"/>
  <c r="AJ2" i="18" s="1"/>
  <c r="CQ11" i="18"/>
  <c r="X3" i="1"/>
  <c r="AF3" i="1"/>
  <c r="B7" i="17" s="1"/>
  <c r="D7" i="17" l="1"/>
  <c r="E7" i="17" s="1"/>
  <c r="C7" i="17"/>
  <c r="O17" i="17"/>
  <c r="L7" i="17"/>
  <c r="L12" i="17"/>
  <c r="I12" i="17"/>
  <c r="AJ3" i="18"/>
  <c r="AN3" i="18"/>
  <c r="AP3" i="18"/>
  <c r="AL3" i="18"/>
  <c r="AM5" i="18"/>
  <c r="AM4" i="18"/>
  <c r="AL6" i="18"/>
  <c r="AN6" i="18"/>
  <c r="AM3" i="18"/>
  <c r="AL5" i="18"/>
  <c r="AN5" i="18"/>
  <c r="AP5" i="18"/>
  <c r="AM6" i="18"/>
  <c r="AJ6" i="18"/>
  <c r="AL4" i="18"/>
  <c r="AN4" i="18"/>
  <c r="AU5" i="18"/>
  <c r="AU2" i="18"/>
  <c r="AU6" i="18"/>
  <c r="AU3" i="18"/>
  <c r="AT6" i="18"/>
  <c r="AT5" i="18"/>
  <c r="AT2" i="18"/>
  <c r="AT3" i="18"/>
  <c r="AS4" i="18"/>
  <c r="AS6" i="18"/>
  <c r="AS5" i="18"/>
  <c r="AS3" i="18"/>
  <c r="AR6" i="18"/>
  <c r="AR5" i="18"/>
  <c r="AR2" i="18"/>
  <c r="AR3" i="18"/>
  <c r="AQ6" i="18"/>
  <c r="AQ5" i="18"/>
  <c r="AQ4" i="18"/>
  <c r="AQ3" i="18"/>
  <c r="AP6" i="18"/>
  <c r="AP4" i="18"/>
  <c r="AO5" i="18"/>
  <c r="AO2" i="18"/>
  <c r="AO6" i="18"/>
  <c r="AO3" i="18"/>
  <c r="AK5" i="18"/>
  <c r="AK6" i="18"/>
  <c r="AK4" i="18"/>
  <c r="AK3" i="18"/>
  <c r="AJ4" i="18"/>
  <c r="AJ5" i="18"/>
  <c r="CN2" i="18"/>
  <c r="CQ2" i="18"/>
  <c r="CP2" i="18"/>
  <c r="CO2" i="18"/>
  <c r="CM2" i="18"/>
  <c r="CK2" i="18"/>
  <c r="CL2" i="18"/>
  <c r="CJ2" i="18"/>
  <c r="CI2" i="18"/>
  <c r="CE2" i="18"/>
  <c r="CH2" i="18"/>
  <c r="CF2" i="18"/>
  <c r="CG2" i="18"/>
  <c r="CD2" i="18"/>
  <c r="CC2" i="18"/>
  <c r="CA2" i="18"/>
  <c r="CB2" i="18"/>
  <c r="BU2" i="18"/>
  <c r="BZ2" i="18"/>
  <c r="BW2" i="18"/>
  <c r="BV2" i="18"/>
  <c r="BX2" i="18"/>
  <c r="BY2" i="18"/>
  <c r="BT2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V12" i="18"/>
  <c r="X17" i="17" s="1"/>
  <c r="U12" i="18"/>
  <c r="W17" i="17" s="1"/>
  <c r="T12" i="18"/>
  <c r="V17" i="17" s="1"/>
  <c r="S12" i="18"/>
  <c r="U17" i="17" s="1"/>
  <c r="R12" i="18"/>
  <c r="T17" i="17" s="1"/>
  <c r="Q12" i="18"/>
  <c r="S17" i="17" s="1"/>
  <c r="P12" i="18"/>
  <c r="R17" i="17" s="1"/>
  <c r="O12" i="18"/>
  <c r="Q17" i="17" s="1"/>
  <c r="N12" i="18"/>
  <c r="P17" i="17" s="1"/>
  <c r="L12" i="18"/>
  <c r="N17" i="17" s="1"/>
  <c r="K12" i="18"/>
  <c r="M17" i="17" s="1"/>
  <c r="J12" i="18"/>
  <c r="L17" i="17" s="1"/>
  <c r="I12" i="18"/>
  <c r="K17" i="17" s="1"/>
  <c r="H12" i="18"/>
  <c r="J17" i="17" s="1"/>
  <c r="G12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V10" i="18"/>
  <c r="X15" i="17" s="1"/>
  <c r="U10" i="18"/>
  <c r="W15" i="17" s="1"/>
  <c r="T10" i="18"/>
  <c r="V15" i="17" s="1"/>
  <c r="S10" i="18"/>
  <c r="U15" i="17" s="1"/>
  <c r="R10" i="18"/>
  <c r="T15" i="17" s="1"/>
  <c r="Q10" i="18"/>
  <c r="S15" i="17" s="1"/>
  <c r="P10" i="18"/>
  <c r="R15" i="17" s="1"/>
  <c r="O10" i="18"/>
  <c r="Q15" i="17" s="1"/>
  <c r="N10" i="18"/>
  <c r="P15" i="17" s="1"/>
  <c r="M10" i="18"/>
  <c r="O15" i="17" s="1"/>
  <c r="L10" i="18"/>
  <c r="N15" i="17" s="1"/>
  <c r="K10" i="18"/>
  <c r="M15" i="17" s="1"/>
  <c r="J10" i="18"/>
  <c r="L15" i="17" s="1"/>
  <c r="I10" i="18"/>
  <c r="K15" i="17" s="1"/>
  <c r="H10" i="18"/>
  <c r="J15" i="17" s="1"/>
  <c r="G10" i="18"/>
  <c r="V9" i="18"/>
  <c r="U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V7" i="18"/>
  <c r="X12" i="17" s="1"/>
  <c r="U7" i="18"/>
  <c r="W12" i="17" s="1"/>
  <c r="T7" i="18"/>
  <c r="V12" i="17" s="1"/>
  <c r="S7" i="18"/>
  <c r="U12" i="17" s="1"/>
  <c r="R7" i="18"/>
  <c r="T12" i="17" s="1"/>
  <c r="Q7" i="18"/>
  <c r="S12" i="17" s="1"/>
  <c r="P7" i="18"/>
  <c r="R12" i="17" s="1"/>
  <c r="O7" i="18"/>
  <c r="Q12" i="17" s="1"/>
  <c r="N7" i="18"/>
  <c r="P12" i="17" s="1"/>
  <c r="M7" i="18"/>
  <c r="O12" i="17" s="1"/>
  <c r="L7" i="18"/>
  <c r="N12" i="17" s="1"/>
  <c r="K7" i="18"/>
  <c r="M12" i="17" s="1"/>
  <c r="I7" i="18"/>
  <c r="K12" i="17" s="1"/>
  <c r="H7" i="18"/>
  <c r="V6" i="18"/>
  <c r="X11" i="17" s="1"/>
  <c r="U6" i="18"/>
  <c r="W11" i="17" s="1"/>
  <c r="T6" i="18"/>
  <c r="V11" i="17" s="1"/>
  <c r="S6" i="18"/>
  <c r="U11" i="17" s="1"/>
  <c r="R6" i="18"/>
  <c r="T11" i="17" s="1"/>
  <c r="Q6" i="18"/>
  <c r="S11" i="17" s="1"/>
  <c r="P6" i="18"/>
  <c r="R11" i="17" s="1"/>
  <c r="O6" i="18"/>
  <c r="Q11" i="17" s="1"/>
  <c r="N6" i="18"/>
  <c r="P11" i="17" s="1"/>
  <c r="M6" i="18"/>
  <c r="O11" i="17" s="1"/>
  <c r="L6" i="18"/>
  <c r="N11" i="17" s="1"/>
  <c r="K6" i="18"/>
  <c r="M11" i="17" s="1"/>
  <c r="J6" i="18"/>
  <c r="L11" i="17" s="1"/>
  <c r="I6" i="18"/>
  <c r="K11" i="17" s="1"/>
  <c r="H6" i="18"/>
  <c r="J11" i="17" s="1"/>
  <c r="G6" i="18"/>
  <c r="F13" i="18" l="1"/>
  <c r="I17" i="17"/>
  <c r="F12" i="18"/>
  <c r="H17" i="17" s="1"/>
  <c r="F11" i="18"/>
  <c r="I15" i="17"/>
  <c r="F10" i="18"/>
  <c r="H15" i="17" s="1"/>
  <c r="F9" i="18"/>
  <c r="F8" i="18"/>
  <c r="J12" i="17"/>
  <c r="F7" i="18"/>
  <c r="H12" i="17" s="1"/>
  <c r="I11" i="17"/>
  <c r="F6" i="18"/>
  <c r="H11" i="17" s="1"/>
  <c r="CR2" i="18"/>
  <c r="V5" i="18"/>
  <c r="X10" i="17" s="1"/>
  <c r="V4" i="18"/>
  <c r="U5" i="18"/>
  <c r="W10" i="17" s="1"/>
  <c r="T5" i="18"/>
  <c r="V10" i="17" s="1"/>
  <c r="U4" i="18"/>
  <c r="T4" i="18"/>
  <c r="S5" i="18"/>
  <c r="U10" i="17" s="1"/>
  <c r="S4" i="18"/>
  <c r="R5" i="18"/>
  <c r="T10" i="17" s="1"/>
  <c r="R4" i="18"/>
  <c r="Q4" i="18"/>
  <c r="P4" i="18"/>
  <c r="Q5" i="18"/>
  <c r="S10" i="17" s="1"/>
  <c r="P5" i="18"/>
  <c r="R10" i="17" s="1"/>
  <c r="O5" i="18"/>
  <c r="Q10" i="17" s="1"/>
  <c r="N5" i="18"/>
  <c r="P10" i="17" s="1"/>
  <c r="M5" i="18"/>
  <c r="O10" i="17" s="1"/>
  <c r="L5" i="18"/>
  <c r="N10" i="17" s="1"/>
  <c r="K5" i="18"/>
  <c r="M10" i="17" s="1"/>
  <c r="J5" i="18"/>
  <c r="L10" i="17" s="1"/>
  <c r="I5" i="18"/>
  <c r="K10" i="17" s="1"/>
  <c r="H5" i="18"/>
  <c r="J10" i="17" s="1"/>
  <c r="G5" i="18"/>
  <c r="O4" i="18"/>
  <c r="N4" i="18"/>
  <c r="M4" i="18"/>
  <c r="L4" i="18"/>
  <c r="K4" i="18"/>
  <c r="J4" i="18"/>
  <c r="I4" i="18"/>
  <c r="H4" i="18"/>
  <c r="G4" i="18"/>
  <c r="V3" i="18"/>
  <c r="X8" i="17" s="1"/>
  <c r="U3" i="18"/>
  <c r="W8" i="17" s="1"/>
  <c r="T3" i="18"/>
  <c r="V8" i="17" s="1"/>
  <c r="S3" i="18"/>
  <c r="U8" i="17" s="1"/>
  <c r="R3" i="18"/>
  <c r="T8" i="17" s="1"/>
  <c r="Q3" i="18"/>
  <c r="S8" i="17" s="1"/>
  <c r="P3" i="18"/>
  <c r="R8" i="17" s="1"/>
  <c r="O3" i="18"/>
  <c r="Q8" i="17" s="1"/>
  <c r="N3" i="18"/>
  <c r="P8" i="17" s="1"/>
  <c r="M3" i="18"/>
  <c r="O8" i="17" s="1"/>
  <c r="L3" i="18"/>
  <c r="N8" i="17" s="1"/>
  <c r="K3" i="18"/>
  <c r="M8" i="17" s="1"/>
  <c r="J3" i="18"/>
  <c r="L8" i="17" s="1"/>
  <c r="I3" i="18"/>
  <c r="K8" i="17" s="1"/>
  <c r="H3" i="18"/>
  <c r="J8" i="17" s="1"/>
  <c r="G3" i="18"/>
  <c r="V2" i="18"/>
  <c r="X7" i="17" s="1"/>
  <c r="W7" i="17"/>
  <c r="T2" i="18"/>
  <c r="V7" i="17" s="1"/>
  <c r="S2" i="18"/>
  <c r="U7" i="17" s="1"/>
  <c r="R2" i="18"/>
  <c r="T7" i="17" s="1"/>
  <c r="Q2" i="18"/>
  <c r="S7" i="17" s="1"/>
  <c r="P2" i="18"/>
  <c r="R7" i="17" s="1"/>
  <c r="O2" i="18"/>
  <c r="Q7" i="17" s="1"/>
  <c r="N2" i="18"/>
  <c r="P7" i="17" s="1"/>
  <c r="M2" i="18"/>
  <c r="O7" i="17" s="1"/>
  <c r="L2" i="18"/>
  <c r="N7" i="17" s="1"/>
  <c r="K2" i="18"/>
  <c r="M7" i="17" s="1"/>
  <c r="I2" i="18"/>
  <c r="K7" i="17" s="1"/>
  <c r="H2" i="18"/>
  <c r="J7" i="17" s="1"/>
  <c r="G2" i="18"/>
  <c r="X14" i="17"/>
  <c r="H18" i="17" l="1"/>
  <c r="H13" i="17"/>
  <c r="I8" i="17"/>
  <c r="F3" i="18"/>
  <c r="H8" i="17" s="1"/>
  <c r="I7" i="17"/>
  <c r="F2" i="18"/>
  <c r="H7" i="17" s="1"/>
  <c r="H16" i="17"/>
  <c r="I10" i="17"/>
  <c r="F5" i="18"/>
  <c r="H10" i="17" s="1"/>
  <c r="F4" i="18"/>
  <c r="H9" i="17" s="1"/>
  <c r="J14" i="17"/>
  <c r="Q13" i="17"/>
  <c r="U13" i="17"/>
  <c r="L9" i="17"/>
  <c r="P9" i="17"/>
  <c r="W9" i="17"/>
  <c r="S14" i="17"/>
  <c r="L18" i="17"/>
  <c r="V13" i="17"/>
  <c r="I13" i="17"/>
  <c r="J18" i="17"/>
  <c r="T13" i="17"/>
  <c r="O14" i="17"/>
  <c r="W14" i="17"/>
  <c r="J13" i="17"/>
  <c r="O18" i="17"/>
  <c r="T14" i="17"/>
  <c r="U18" i="17"/>
  <c r="W13" i="17"/>
  <c r="X13" i="17"/>
  <c r="R14" i="17"/>
  <c r="Q14" i="17"/>
  <c r="M14" i="17"/>
  <c r="P14" i="17"/>
  <c r="S13" i="17"/>
  <c r="K16" i="17"/>
  <c r="V16" i="17"/>
  <c r="I16" i="17"/>
  <c r="X16" i="17"/>
  <c r="I9" i="17"/>
  <c r="M9" i="17"/>
  <c r="Q9" i="17"/>
  <c r="R9" i="17"/>
  <c r="U9" i="17"/>
  <c r="X18" i="17"/>
  <c r="W16" i="17"/>
  <c r="W18" i="17"/>
  <c r="N16" i="17"/>
  <c r="R16" i="17"/>
  <c r="U16" i="17"/>
  <c r="Q18" i="17"/>
  <c r="T16" i="17"/>
  <c r="J9" i="17"/>
  <c r="N9" i="17"/>
  <c r="S9" i="17"/>
  <c r="T18" i="17"/>
  <c r="S16" i="17"/>
  <c r="R13" i="17"/>
  <c r="S18" i="17"/>
  <c r="V18" i="17"/>
  <c r="J16" i="17"/>
  <c r="M13" i="17"/>
  <c r="Q16" i="17"/>
  <c r="P13" i="17"/>
  <c r="M18" i="17"/>
  <c r="P16" i="17"/>
  <c r="O13" i="17"/>
  <c r="V14" i="17"/>
  <c r="H14" i="17"/>
  <c r="K9" i="17"/>
  <c r="O9" i="17"/>
  <c r="T9" i="17"/>
  <c r="V9" i="17"/>
  <c r="X9" i="17"/>
  <c r="P18" i="17"/>
  <c r="O16" i="17"/>
  <c r="N14" i="17"/>
  <c r="N13" i="17"/>
  <c r="K18" i="17"/>
  <c r="I14" i="17"/>
  <c r="N18" i="17"/>
  <c r="U14" i="17"/>
  <c r="R18" i="17"/>
  <c r="M16" i="17"/>
  <c r="L14" i="17"/>
  <c r="L13" i="17"/>
  <c r="I18" i="17"/>
  <c r="L16" i="17"/>
  <c r="K14" i="17"/>
  <c r="K13" i="17"/>
  <c r="AF3" i="16"/>
  <c r="N3" i="16"/>
  <c r="G3" i="16"/>
  <c r="AF3" i="15"/>
  <c r="X3" i="15"/>
  <c r="N3" i="15"/>
  <c r="G3" i="15"/>
  <c r="AF3" i="14"/>
  <c r="B16" i="17" s="1"/>
  <c r="X3" i="14"/>
  <c r="N3" i="14"/>
  <c r="G3" i="14"/>
  <c r="AF3" i="13"/>
  <c r="B15" i="17" s="1"/>
  <c r="X3" i="13"/>
  <c r="N3" i="13"/>
  <c r="G3" i="13"/>
  <c r="AF3" i="12"/>
  <c r="X3" i="12"/>
  <c r="N3" i="12"/>
  <c r="G3" i="12"/>
  <c r="AF3" i="11"/>
  <c r="B13" i="17" s="1"/>
  <c r="X3" i="11"/>
  <c r="N3" i="11"/>
  <c r="G3" i="11"/>
  <c r="G3" i="10"/>
  <c r="N3" i="10"/>
  <c r="X3" i="10"/>
  <c r="AF3" i="10"/>
  <c r="B12" i="17" s="1"/>
  <c r="C11" i="17"/>
  <c r="C10" i="17"/>
  <c r="AF3" i="6"/>
  <c r="B9" i="17" s="1"/>
  <c r="X3" i="6"/>
  <c r="G3" i="6"/>
  <c r="C8" i="17"/>
  <c r="B17" i="17" l="1"/>
  <c r="C17" i="17" s="1"/>
  <c r="D17" i="17"/>
  <c r="E17" i="17" s="1"/>
  <c r="B14" i="17"/>
  <c r="C14" i="17" s="1"/>
  <c r="D14" i="17"/>
  <c r="E14" i="17" s="1"/>
  <c r="B18" i="17"/>
  <c r="C18" i="17" s="1"/>
  <c r="C16" i="17"/>
  <c r="C15" i="17"/>
  <c r="C13" i="17"/>
  <c r="C12" i="17"/>
  <c r="C9" i="17"/>
  <c r="CQ13" i="18"/>
  <c r="CJ13" i="18"/>
  <c r="CG13" i="18"/>
  <c r="CC13" i="18"/>
  <c r="CN13" i="18"/>
  <c r="CK13" i="18"/>
  <c r="CD13" i="18"/>
  <c r="CP13" i="18"/>
  <c r="CM13" i="18"/>
  <c r="CI13" i="18"/>
  <c r="CF13" i="18"/>
  <c r="CB13" i="18"/>
  <c r="CA13" i="18"/>
  <c r="CH13" i="18"/>
  <c r="BZ13" i="18"/>
  <c r="CO13" i="18"/>
  <c r="CL13" i="18"/>
  <c r="CE13" i="18"/>
  <c r="BY13" i="18"/>
  <c r="BV13" i="18"/>
  <c r="BW13" i="18"/>
  <c r="BX13" i="18"/>
  <c r="BU13" i="18"/>
  <c r="CO12" i="18"/>
  <c r="CJ12" i="18"/>
  <c r="CG12" i="18"/>
  <c r="CC12" i="18"/>
  <c r="CA12" i="18"/>
  <c r="CD12" i="18"/>
  <c r="CQ12" i="18"/>
  <c r="CL12" i="18"/>
  <c r="CE12" i="18"/>
  <c r="BZ12" i="18"/>
  <c r="CP12" i="18"/>
  <c r="CN12" i="18"/>
  <c r="CM12" i="18"/>
  <c r="CK12" i="18"/>
  <c r="CI12" i="18"/>
  <c r="CH12" i="18"/>
  <c r="CF12" i="18"/>
  <c r="CB12" i="18"/>
  <c r="BY12" i="18"/>
  <c r="BX12" i="18"/>
  <c r="CP11" i="18"/>
  <c r="CM11" i="18"/>
  <c r="CI11" i="18"/>
  <c r="CF11" i="18"/>
  <c r="CB11" i="18"/>
  <c r="CL11" i="18"/>
  <c r="CA11" i="18"/>
  <c r="CJ11" i="18"/>
  <c r="CG11" i="18"/>
  <c r="CC11" i="18"/>
  <c r="CO11" i="18"/>
  <c r="CN11" i="18"/>
  <c r="CK11" i="18"/>
  <c r="CH11" i="18"/>
  <c r="CD11" i="18"/>
  <c r="BZ11" i="18"/>
  <c r="CE11" i="18"/>
  <c r="BV11" i="18"/>
  <c r="BT11" i="18"/>
  <c r="BX11" i="18"/>
  <c r="BU11" i="18"/>
  <c r="BY11" i="18"/>
  <c r="BW11" i="18"/>
  <c r="CQ10" i="18"/>
  <c r="CK10" i="18"/>
  <c r="CI10" i="18"/>
  <c r="CG10" i="18"/>
  <c r="CD10" i="18"/>
  <c r="CB10" i="18"/>
  <c r="BZ10" i="18"/>
  <c r="CO10" i="18"/>
  <c r="CN10" i="18"/>
  <c r="CJ10" i="18"/>
  <c r="CH10" i="18"/>
  <c r="CE10" i="18"/>
  <c r="CP10" i="18"/>
  <c r="CM10" i="18"/>
  <c r="CL10" i="18"/>
  <c r="CF10" i="18"/>
  <c r="CC10" i="18"/>
  <c r="CA10" i="18"/>
  <c r="BU10" i="18"/>
  <c r="BT10" i="18"/>
  <c r="BW10" i="18"/>
  <c r="BX10" i="18"/>
  <c r="BV10" i="18"/>
  <c r="BY10" i="18"/>
  <c r="CP9" i="18"/>
  <c r="CM9" i="18"/>
  <c r="CI9" i="18"/>
  <c r="CF9" i="18"/>
  <c r="CB9" i="18"/>
  <c r="CO9" i="18"/>
  <c r="CL9" i="18"/>
  <c r="CE9" i="18"/>
  <c r="CA9" i="18"/>
  <c r="CN9" i="18"/>
  <c r="CK9" i="18"/>
  <c r="CH9" i="18"/>
  <c r="CD9" i="18"/>
  <c r="BZ9" i="18"/>
  <c r="CQ9" i="18"/>
  <c r="CJ9" i="18"/>
  <c r="CG9" i="18"/>
  <c r="CC9" i="18"/>
  <c r="BY9" i="18"/>
  <c r="BT9" i="18"/>
  <c r="BX9" i="18"/>
  <c r="BW9" i="18"/>
  <c r="BV9" i="18"/>
  <c r="BU9" i="18"/>
  <c r="CQ8" i="18"/>
  <c r="CO8" i="18"/>
  <c r="CL8" i="18"/>
  <c r="CJ8" i="18"/>
  <c r="CG8" i="18"/>
  <c r="CE8" i="18"/>
  <c r="CA8" i="18"/>
  <c r="CP8" i="18"/>
  <c r="CN8" i="18"/>
  <c r="CM8" i="18"/>
  <c r="CK8" i="18"/>
  <c r="CI8" i="18"/>
  <c r="CH8" i="18"/>
  <c r="CF8" i="18"/>
  <c r="CD8" i="18"/>
  <c r="CB8" i="18"/>
  <c r="BZ8" i="18"/>
  <c r="CC8" i="18"/>
  <c r="BU8" i="18"/>
  <c r="BT8" i="18"/>
  <c r="BX8" i="18"/>
  <c r="BY8" i="18"/>
  <c r="BW8" i="18"/>
  <c r="BV8" i="18"/>
  <c r="CP7" i="18"/>
  <c r="CM7" i="18"/>
  <c r="CI7" i="18"/>
  <c r="CF7" i="18"/>
  <c r="CB7" i="18"/>
  <c r="CL7" i="18"/>
  <c r="CA7" i="18"/>
  <c r="CQ7" i="18"/>
  <c r="CJ7" i="18"/>
  <c r="CG7" i="18"/>
  <c r="CC7" i="18"/>
  <c r="CO7" i="18"/>
  <c r="CE7" i="18"/>
  <c r="CN7" i="18"/>
  <c r="CK7" i="18"/>
  <c r="CH7" i="18"/>
  <c r="CD7" i="18"/>
  <c r="BZ7" i="18"/>
  <c r="BW7" i="18"/>
  <c r="BX7" i="18"/>
  <c r="BY7" i="18"/>
  <c r="CP6" i="18"/>
  <c r="CO6" i="18"/>
  <c r="CQ6" i="18"/>
  <c r="BT5" i="18"/>
  <c r="CP5" i="18"/>
  <c r="CH5" i="18"/>
  <c r="CG5" i="18"/>
  <c r="CF5" i="18"/>
  <c r="CE5" i="18"/>
  <c r="CD5" i="18"/>
  <c r="CC5" i="18"/>
  <c r="CB5" i="18"/>
  <c r="CA5" i="18"/>
  <c r="BZ5" i="18"/>
  <c r="CL5" i="18"/>
  <c r="CK5" i="18"/>
  <c r="CJ5" i="18"/>
  <c r="CI5" i="18"/>
  <c r="CO5" i="18"/>
  <c r="CN5" i="18"/>
  <c r="CM5" i="18"/>
  <c r="CQ5" i="18"/>
  <c r="BV5" i="18"/>
  <c r="BY5" i="18"/>
  <c r="BW5" i="18"/>
  <c r="BU5" i="18"/>
  <c r="BX5" i="18"/>
  <c r="CQ4" i="18"/>
  <c r="CO4" i="18"/>
  <c r="CL4" i="18"/>
  <c r="CE4" i="18"/>
  <c r="CN4" i="18"/>
  <c r="CK4" i="18"/>
  <c r="CH4" i="18"/>
  <c r="CD4" i="18"/>
  <c r="BZ4" i="18"/>
  <c r="CA4" i="18"/>
  <c r="CP4" i="18"/>
  <c r="CJ4" i="18"/>
  <c r="CG4" i="18"/>
  <c r="CC4" i="18"/>
  <c r="CB4" i="18"/>
  <c r="CM4" i="18"/>
  <c r="CI4" i="18"/>
  <c r="CF4" i="18"/>
  <c r="BY4" i="18"/>
  <c r="BX4" i="18"/>
  <c r="CQ3" i="18"/>
  <c r="CN3" i="18"/>
  <c r="CM3" i="18"/>
  <c r="CK3" i="18"/>
  <c r="CI3" i="18"/>
  <c r="CH3" i="18"/>
  <c r="CO3" i="18"/>
  <c r="CL3" i="18"/>
  <c r="CJ3" i="18"/>
  <c r="CP3" i="18"/>
  <c r="CK6" i="18"/>
  <c r="CH6" i="18"/>
  <c r="CD6" i="18"/>
  <c r="BZ6" i="18"/>
  <c r="CE6" i="18"/>
  <c r="CL6" i="18"/>
  <c r="CF6" i="18"/>
  <c r="CB6" i="18"/>
  <c r="CJ6" i="18"/>
  <c r="CC6" i="18"/>
  <c r="CM6" i="18"/>
  <c r="CI6" i="18"/>
  <c r="CN6" i="18"/>
  <c r="CG6" i="18"/>
  <c r="CA6" i="18"/>
  <c r="BU6" i="18"/>
  <c r="BX6" i="18"/>
  <c r="BT6" i="18"/>
  <c r="BV6" i="18"/>
  <c r="BY6" i="18"/>
  <c r="BW6" i="18"/>
  <c r="CC3" i="18"/>
  <c r="CE3" i="18"/>
  <c r="CD3" i="18"/>
  <c r="BZ3" i="18"/>
  <c r="CG3" i="18"/>
  <c r="CF3" i="18"/>
  <c r="CA3" i="18"/>
  <c r="CB3" i="18"/>
  <c r="BY3" i="18"/>
  <c r="BW3" i="18"/>
  <c r="BX3" i="18"/>
  <c r="BT4" i="18"/>
  <c r="BW4" i="18"/>
  <c r="BU4" i="18"/>
  <c r="BV4" i="18"/>
  <c r="BT12" i="18"/>
  <c r="BV12" i="18"/>
  <c r="BW12" i="18"/>
  <c r="BU12" i="18"/>
  <c r="BU7" i="18"/>
  <c r="BV7" i="18"/>
  <c r="BT7" i="18"/>
  <c r="BV3" i="18"/>
  <c r="BU3" i="18"/>
  <c r="BT3" i="18"/>
  <c r="BT13" i="18"/>
  <c r="CR3" i="18" l="1"/>
  <c r="BW14" i="18"/>
  <c r="CJ14" i="18"/>
  <c r="BZ14" i="18"/>
  <c r="CN14" i="18"/>
  <c r="CR13" i="18"/>
  <c r="CB14" i="18"/>
  <c r="CD14" i="18"/>
  <c r="CE14" i="18"/>
  <c r="CR8" i="18"/>
  <c r="CR11" i="18"/>
  <c r="CO14" i="18"/>
  <c r="CR6" i="18"/>
  <c r="CR5" i="18"/>
  <c r="CP14" i="18"/>
  <c r="CH14" i="18"/>
  <c r="CR9" i="18"/>
  <c r="CR10" i="18"/>
  <c r="CM14" i="18"/>
  <c r="CR12" i="18"/>
  <c r="CI14" i="18"/>
  <c r="CG14" i="18"/>
  <c r="CA14" i="18"/>
  <c r="CL14" i="18"/>
  <c r="BY14" i="18"/>
  <c r="BV14" i="18"/>
  <c r="CQ14" i="18"/>
  <c r="CF14" i="18"/>
  <c r="BU14" i="18"/>
  <c r="CC14" i="18"/>
  <c r="CR7" i="18"/>
  <c r="BX14" i="18"/>
  <c r="CK14" i="18"/>
  <c r="CR4" i="18"/>
  <c r="BT14" i="18"/>
  <c r="CR14" i="18" l="1"/>
  <c r="CV6" i="18" s="1"/>
  <c r="CV14" i="18" l="1"/>
  <c r="CV23" i="18"/>
  <c r="CV24" i="18"/>
  <c r="CV20" i="18"/>
  <c r="CV21" i="18"/>
  <c r="CV16" i="18"/>
  <c r="CV15" i="18"/>
  <c r="CV25" i="18"/>
  <c r="CV18" i="18"/>
  <c r="CV22" i="18"/>
  <c r="CV17" i="18"/>
  <c r="CV19" i="18"/>
  <c r="CV4" i="18"/>
  <c r="CV5" i="18"/>
  <c r="CV3" i="18"/>
  <c r="CV9" i="18"/>
  <c r="CV8" i="18"/>
  <c r="CV10" i="18"/>
  <c r="CV12" i="18"/>
  <c r="CV11" i="18"/>
  <c r="CV13" i="18"/>
  <c r="CV7" i="18"/>
  <c r="CV2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racking Tool Draft.xlsx!Months" type="102" refreshedVersion="6" minRefreshableVersion="5">
    <extLst>
      <ext xmlns:x15="http://schemas.microsoft.com/office/spreadsheetml/2010/11/main" uri="{DE250136-89BD-433C-8126-D09CA5730AF9}">
        <x15:connection id="Months">
          <x15:rangePr sourceName="_xlcn.WorksheetConnection_TrackingToolDraft.xlsxMonths"/>
        </x15:connection>
      </ext>
    </extLst>
  </connection>
  <connection id="3" xr16:uid="{00000000-0015-0000-FFFF-FFFF02000000}" name="WorksheetConnection_Tracking Tool Draft.xlsx!Tracking_Table" type="102" refreshedVersion="6" minRefreshableVersion="5">
    <extLst>
      <ext xmlns:x15="http://schemas.microsoft.com/office/spreadsheetml/2010/11/main" uri="{DE250136-89BD-433C-8126-D09CA5730AF9}">
        <x15:connection id="Tracking_Table" autoDelete="1">
          <x15:rangePr sourceName="_xlcn.WorksheetConnection_TrackingToolDraft.xlsxTracking_Table"/>
        </x15:connection>
      </ext>
    </extLst>
  </connection>
</connections>
</file>

<file path=xl/sharedStrings.xml><?xml version="1.0" encoding="utf-8"?>
<sst xmlns="http://schemas.openxmlformats.org/spreadsheetml/2006/main" count="1037" uniqueCount="258">
  <si>
    <t>Unit Name</t>
  </si>
  <si>
    <t>Resident Name</t>
  </si>
  <si>
    <t>Room #</t>
  </si>
  <si>
    <t>Admit Date</t>
  </si>
  <si>
    <t>Infection type</t>
  </si>
  <si>
    <t>Body System of Infection</t>
  </si>
  <si>
    <t>Onset Date</t>
  </si>
  <si>
    <t>Device Type(s)</t>
  </si>
  <si>
    <t>Date(s) of Insertion</t>
  </si>
  <si>
    <t xml:space="preserve">Date(s) of Removal </t>
  </si>
  <si>
    <t>Device Days</t>
  </si>
  <si>
    <t>Infection Risk Factors</t>
  </si>
  <si>
    <t>Type of Test</t>
  </si>
  <si>
    <t>Specimen Source</t>
  </si>
  <si>
    <t>Results (Organism colony counts for urine)</t>
  </si>
  <si>
    <t>If Yes, Specify:</t>
  </si>
  <si>
    <t>Provider</t>
  </si>
  <si>
    <t>Meets Criteria? Y/N</t>
  </si>
  <si>
    <t>Antibiotic Reassessment (Antibiotic "Time outs") Performed? Y/N</t>
  </si>
  <si>
    <t>If Yes, Specify</t>
  </si>
  <si>
    <t>Resident Information</t>
  </si>
  <si>
    <t>Classification</t>
  </si>
  <si>
    <t>History</t>
  </si>
  <si>
    <t>Diagnostics (microbiology, other labs, radiology)</t>
  </si>
  <si>
    <t>Other Information</t>
  </si>
  <si>
    <t>Antibiotic Resistant Organism? Y/N</t>
  </si>
  <si>
    <t xml:space="preserve">Transmission-based Precautions required? Y/N </t>
  </si>
  <si>
    <t>Diagnostic Performed? Y/N</t>
  </si>
  <si>
    <t>Central Line</t>
  </si>
  <si>
    <t>Urinary Catheter</t>
  </si>
  <si>
    <t>Trach</t>
  </si>
  <si>
    <t>Wound Vac</t>
  </si>
  <si>
    <t>Ventilator</t>
  </si>
  <si>
    <t>No Devices</t>
  </si>
  <si>
    <t>Infection Type</t>
  </si>
  <si>
    <t>Common Cold</t>
  </si>
  <si>
    <t>Pharyngitis</t>
  </si>
  <si>
    <t>Influenza-like Illness</t>
  </si>
  <si>
    <t>Pneumonia</t>
  </si>
  <si>
    <t>Lower Resp. Tract</t>
  </si>
  <si>
    <t>Upper Resp. Tract</t>
  </si>
  <si>
    <t>UTI</t>
  </si>
  <si>
    <t>Gastroenteritis</t>
  </si>
  <si>
    <t>Norovirus</t>
  </si>
  <si>
    <t>Clostridium difficile</t>
  </si>
  <si>
    <t>Cellulitis/Soft Tissue/Wound</t>
  </si>
  <si>
    <t>Scabies</t>
  </si>
  <si>
    <t>Ear</t>
  </si>
  <si>
    <t>Eye</t>
  </si>
  <si>
    <t>Other</t>
  </si>
  <si>
    <t>Dose</t>
  </si>
  <si>
    <t>Route</t>
  </si>
  <si>
    <t>Frequency</t>
  </si>
  <si>
    <t>Symptom(s)</t>
  </si>
  <si>
    <t>Amantadine</t>
  </si>
  <si>
    <t>M2 ion channel inhibitors</t>
  </si>
  <si>
    <t>Amikacin</t>
  </si>
  <si>
    <t>Aminoglycosides</t>
  </si>
  <si>
    <t>Amoxicillin</t>
  </si>
  <si>
    <t>Penicillins</t>
  </si>
  <si>
    <t>Amoxicillin/Clavulanate</t>
  </si>
  <si>
    <t>B-lactam/B-lactamase inhibitor combination</t>
  </si>
  <si>
    <t>Amphotericin B</t>
  </si>
  <si>
    <t>Polyenes</t>
  </si>
  <si>
    <t>Amphotericin B Liposomal</t>
  </si>
  <si>
    <t>Ampicillin</t>
  </si>
  <si>
    <t>Ampicillin/Sulbactam</t>
  </si>
  <si>
    <t>Anidulafungin</t>
  </si>
  <si>
    <t>Echinocandins</t>
  </si>
  <si>
    <t>Azithromycin</t>
  </si>
  <si>
    <t>Macrolides</t>
  </si>
  <si>
    <t>Aztreonam</t>
  </si>
  <si>
    <t>Monobactams</t>
  </si>
  <si>
    <t>Caspofungin</t>
  </si>
  <si>
    <t>Cefaclor</t>
  </si>
  <si>
    <t>Cephalosporins</t>
  </si>
  <si>
    <t>Cefadroxil</t>
  </si>
  <si>
    <t>Cefazolin</t>
  </si>
  <si>
    <t>Cefdinir</t>
  </si>
  <si>
    <t>Cefditoren</t>
  </si>
  <si>
    <t>Cefepime</t>
  </si>
  <si>
    <t>Cefixime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</si>
  <si>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</si>
  <si>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</si>
  <si>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</si>
  <si>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</si>
  <si>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</si>
  <si>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</si>
  <si>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</si>
  <si>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Ceftazidime/Avitbactam</t>
  </si>
  <si>
    <t>Ceftibuten</t>
  </si>
  <si>
    <t>Ceftizoxime</t>
  </si>
  <si>
    <t>Ceftolozane/Tazobactam</t>
  </si>
  <si>
    <t>Ceftriaxone</t>
  </si>
  <si>
    <t>Cefuroxime</t>
  </si>
  <si>
    <t>Cephalexin</t>
  </si>
  <si>
    <t>Chloramphenicol</t>
  </si>
  <si>
    <t>Phenicols</t>
  </si>
  <si>
    <t>Ciprofloxacin</t>
  </si>
  <si>
    <t>Fluoroquinolones</t>
  </si>
  <si>
    <t>Clarithromycin</t>
  </si>
  <si>
    <t>Clindamycin</t>
  </si>
  <si>
    <t>Lincosamides</t>
  </si>
  <si>
    <t>Colistimethate</t>
  </si>
  <si>
    <t>Polymyxins</t>
  </si>
  <si>
    <t>Dalbavancin</t>
  </si>
  <si>
    <t>Glycopeptides</t>
  </si>
  <si>
    <t>Daptomycin</t>
  </si>
  <si>
    <t>Lipopeptides</t>
  </si>
  <si>
    <t>Dicloxacillin</t>
  </si>
  <si>
    <t>Doripenem</t>
  </si>
  <si>
    <t>Carbapenems</t>
  </si>
  <si>
    <t>Erythromycin</t>
  </si>
  <si>
    <t>Erythromycin/Sulfisoxazole</t>
  </si>
  <si>
    <t>Folate pathway inhibitors</t>
  </si>
  <si>
    <t>Fidaxomicin</t>
  </si>
  <si>
    <t>Macrocyclic</t>
  </si>
  <si>
    <t>Fluconazole</t>
  </si>
  <si>
    <t>Azoles</t>
  </si>
  <si>
    <t>Fosfomycin</t>
  </si>
  <si>
    <t>Fosfomycins</t>
  </si>
  <si>
    <t>Gemifloxacin</t>
  </si>
  <si>
    <t>Gentamicin</t>
  </si>
  <si>
    <t>Imipenem/Cilastatin</t>
  </si>
  <si>
    <t>Isavuconazonium</t>
  </si>
  <si>
    <t>Itraconazole</t>
  </si>
  <si>
    <t>Levofloxacin</t>
  </si>
  <si>
    <t>Linezolid</t>
  </si>
  <si>
    <t>Oxazolidinones</t>
  </si>
  <si>
    <t xml:space="preserve">Meropenem </t>
  </si>
  <si>
    <t>Metronidazole</t>
  </si>
  <si>
    <t>Nitroimidazoles</t>
  </si>
  <si>
    <t>Micafungin</t>
  </si>
  <si>
    <t>Minocycline</t>
  </si>
  <si>
    <t>Tetracyclines</t>
  </si>
  <si>
    <t>Moxifloaxcin</t>
  </si>
  <si>
    <t>Nafcillin</t>
  </si>
  <si>
    <t>Nitrofurantoin</t>
  </si>
  <si>
    <t>Nitrofurans</t>
  </si>
  <si>
    <t>Oritavancin</t>
  </si>
  <si>
    <t>Oseltamivir</t>
  </si>
  <si>
    <t>Neuraminidase inhibitors</t>
  </si>
  <si>
    <t>Oxacillin</t>
  </si>
  <si>
    <t>Penicillin G</t>
  </si>
  <si>
    <t>Penicillin V</t>
  </si>
  <si>
    <t>Peramivir</t>
  </si>
  <si>
    <t>Piperacillin</t>
  </si>
  <si>
    <t>Piperacillin/Tazobactam</t>
  </si>
  <si>
    <t>Polymyxin B</t>
  </si>
  <si>
    <t>Posaconazole</t>
  </si>
  <si>
    <t>Quinupristin/Dalfopristin</t>
  </si>
  <si>
    <t>Streptogramins</t>
  </si>
  <si>
    <t>Rifampin</t>
  </si>
  <si>
    <t>Rimantadine</t>
  </si>
  <si>
    <t>Sulfamethoxazole/Trimethoprim</t>
  </si>
  <si>
    <t>Sulfisoxazole</t>
  </si>
  <si>
    <t>Tedizolid</t>
  </si>
  <si>
    <t>Telavancin</t>
  </si>
  <si>
    <t>Telithromycin</t>
  </si>
  <si>
    <t>Ketolides</t>
  </si>
  <si>
    <t>Tetracycline</t>
  </si>
  <si>
    <t>Ticarcillin/Clavulanate</t>
  </si>
  <si>
    <t>Tigecycline</t>
  </si>
  <si>
    <t>Glycylcyclines</t>
  </si>
  <si>
    <t>Tinidazole</t>
  </si>
  <si>
    <t>Tobramycin</t>
  </si>
  <si>
    <t>Vancomycin</t>
  </si>
  <si>
    <t>Voriconazole</t>
  </si>
  <si>
    <t>Zanamvir</t>
  </si>
  <si>
    <t>Class</t>
  </si>
  <si>
    <t>Respiratory Tract</t>
  </si>
  <si>
    <t xml:space="preserve">Urinary Tract </t>
  </si>
  <si>
    <t>Gastrointestinal</t>
  </si>
  <si>
    <t>Skin</t>
  </si>
  <si>
    <t xml:space="preserve">Other </t>
  </si>
  <si>
    <t>IV</t>
  </si>
  <si>
    <t>IM</t>
  </si>
  <si>
    <t>Respiratory</t>
  </si>
  <si>
    <t>Antimicrobial Starts</t>
  </si>
  <si>
    <t xml:space="preserve">Total Days of Therapy </t>
  </si>
  <si>
    <t>Lice</t>
  </si>
  <si>
    <t>ED</t>
  </si>
  <si>
    <t>Hospital</t>
  </si>
  <si>
    <t>Long-term Care Center</t>
  </si>
  <si>
    <t>Urine</t>
  </si>
  <si>
    <t>Sputum</t>
  </si>
  <si>
    <t>Blood</t>
  </si>
  <si>
    <t>Existing Infection from Previous Month(s)? Y/N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</si>
  <si>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</si>
  <si>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</si>
  <si>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</si>
  <si>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</si>
  <si>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</si>
  <si>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</si>
  <si>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</si>
  <si>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</si>
  <si>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</si>
  <si>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</si>
  <si>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</si>
  <si>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</si>
  <si>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</si>
  <si>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Stool</t>
  </si>
  <si>
    <t>Nasal</t>
  </si>
  <si>
    <t>Wound</t>
  </si>
  <si>
    <t>Throat</t>
  </si>
  <si>
    <t>Rectal</t>
  </si>
  <si>
    <t>Resident Days</t>
  </si>
  <si>
    <t>Number</t>
  </si>
  <si>
    <t xml:space="preserve">October </t>
  </si>
  <si>
    <t>Influenza-like illness</t>
  </si>
  <si>
    <t>Total Days of Therapy per Month</t>
  </si>
  <si>
    <t xml:space="preserve">January </t>
  </si>
  <si>
    <t>Location</t>
  </si>
  <si>
    <t>Clinic</t>
  </si>
  <si>
    <t>Number that Meets Criteria</t>
  </si>
  <si>
    <t>Number that Does Not Meet Criteria</t>
  </si>
  <si>
    <t>Criteria</t>
  </si>
  <si>
    <t>Rate per 1,000 Resident Days</t>
  </si>
  <si>
    <t>Class Utilization</t>
  </si>
  <si>
    <t>Total</t>
  </si>
  <si>
    <t>Total All</t>
  </si>
  <si>
    <t>% Meeting Criteria</t>
  </si>
  <si>
    <t>Meets Criteria</t>
  </si>
  <si>
    <t>Does Not Meet Criteria</t>
  </si>
  <si>
    <t>Utilization</t>
  </si>
  <si>
    <t>Contact Precautions</t>
  </si>
  <si>
    <t>Transmission-Based Precautions</t>
  </si>
  <si>
    <t>Droplet Precautions</t>
  </si>
  <si>
    <t>Airborne Precautions</t>
  </si>
  <si>
    <t>Test Date</t>
  </si>
  <si>
    <t>Oral</t>
  </si>
  <si>
    <t>Topical</t>
  </si>
  <si>
    <t>Antibiotic Name</t>
  </si>
  <si>
    <t>Resident Days Present per Month</t>
  </si>
  <si>
    <t>Other Antimicrobials Prescribed Name</t>
  </si>
  <si>
    <t>Other Antimicrobials Prescribed Class</t>
  </si>
  <si>
    <t>Prophylaxis</t>
  </si>
  <si>
    <t>Doxycycline</t>
  </si>
  <si>
    <t>Antimicrobial Drug</t>
  </si>
  <si>
    <t>Antimicrobial Class</t>
  </si>
  <si>
    <t>Total Days of Therapy per Month (Prophylaxis)</t>
  </si>
  <si>
    <t>Rate per 1,000 Resident Days (Prophylaxis)</t>
  </si>
  <si>
    <t>Total Infection Rates per 1,000 Resident Days</t>
  </si>
  <si>
    <t>Antimicrobial RX Origin</t>
  </si>
  <si>
    <t>Surveillance definition met? Y/N</t>
  </si>
  <si>
    <t>Antibiotic Start Date</t>
  </si>
  <si>
    <t>Antibiotic End Date</t>
  </si>
  <si>
    <t>Antimicrobial Rx Origin</t>
  </si>
  <si>
    <t xml:space="preserve">Date Symptoms Resolved </t>
  </si>
  <si>
    <t>Cellulitis/ Soft Tissue/ Wound</t>
  </si>
  <si>
    <t>Device_Type</t>
  </si>
  <si>
    <t>ABX Name</t>
  </si>
  <si>
    <t>ABX Route</t>
  </si>
  <si>
    <t>ABX Origination</t>
  </si>
  <si>
    <t>ABX Class</t>
  </si>
  <si>
    <t>Total Days of Therapy</t>
  </si>
  <si>
    <t xml:space="preserve"> Resident Days Present</t>
  </si>
  <si>
    <t>Neomycin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</si>
</sst>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E5F0F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10" fontId="0" fillId="0" borderId="0" xfId="0" applyNumberFormat="1"/>
    <xf numFmtId="2" fontId="0" fillId="0" borderId="1" xfId="0" applyNumberFormat="1" applyBorder="1"/>
    <xf numFmtId="0" fontId="0" fillId="0" borderId="5" xfId="0" applyBorder="1"/>
    <xf numFmtId="2" fontId="0" fillId="0" borderId="3" xfId="0" applyNumberFormat="1" applyBorder="1"/>
    <xf numFmtId="0" fontId="0" fillId="0" borderId="9" xfId="0" applyBorder="1"/>
    <xf numFmtId="0" fontId="0" fillId="0" borderId="2" xfId="0" applyBorder="1"/>
    <xf numFmtId="2" fontId="0" fillId="0" borderId="10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/>
    <xf numFmtId="9" fontId="0" fillId="0" borderId="0" xfId="0" applyNumberFormat="1"/>
    <xf numFmtId="0" fontId="0" fillId="0" borderId="3" xfId="0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6" borderId="5" xfId="0" applyFill="1" applyBorder="1"/>
    <xf numFmtId="0" fontId="0" fillId="0" borderId="10" xfId="0" applyBorder="1"/>
    <xf numFmtId="0" fontId="0" fillId="6" borderId="1" xfId="0" applyFill="1" applyBorder="1"/>
    <xf numFmtId="2" fontId="0" fillId="6" borderId="3" xfId="0" applyNumberFormat="1" applyFill="1" applyBorder="1"/>
    <xf numFmtId="2" fontId="0" fillId="6" borderId="8" xfId="0" applyNumberFormat="1" applyFill="1" applyBorder="1"/>
    <xf numFmtId="2" fontId="0" fillId="6" borderId="1" xfId="0" applyNumberFormat="1" applyFill="1" applyBorder="1"/>
    <xf numFmtId="0" fontId="3" fillId="3" borderId="3" xfId="0" applyFont="1" applyFill="1" applyBorder="1"/>
    <xf numFmtId="0" fontId="3" fillId="3" borderId="5" xfId="0" applyFont="1" applyFill="1" applyBorder="1" applyAlignment="1">
      <alignment wrapText="1"/>
    </xf>
    <xf numFmtId="2" fontId="0" fillId="6" borderId="7" xfId="0" applyNumberFormat="1" applyFill="1" applyBorder="1"/>
    <xf numFmtId="0" fontId="0" fillId="6" borderId="7" xfId="0" applyFill="1" applyBorder="1"/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3" xfId="0" applyFont="1" applyFill="1" applyBorder="1"/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6" borderId="6" xfId="0" applyFill="1" applyBorder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16" xfId="0" applyBorder="1"/>
    <xf numFmtId="0" fontId="0" fillId="0" borderId="17" xfId="0" applyBorder="1"/>
    <xf numFmtId="0" fontId="0" fillId="2" borderId="18" xfId="0" applyFont="1" applyFill="1" applyBorder="1"/>
    <xf numFmtId="0" fontId="0" fillId="2" borderId="19" xfId="0" applyFont="1" applyFill="1" applyBorder="1"/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0" fillId="5" borderId="19" xfId="0" applyFont="1" applyFill="1" applyBorder="1"/>
    <xf numFmtId="0" fontId="0" fillId="5" borderId="18" xfId="0" applyFont="1" applyFill="1" applyBorder="1"/>
    <xf numFmtId="0" fontId="0" fillId="0" borderId="19" xfId="0" applyBorder="1"/>
    <xf numFmtId="0" fontId="0" fillId="0" borderId="18" xfId="0" applyBorder="1"/>
    <xf numFmtId="0" fontId="4" fillId="2" borderId="19" xfId="0" applyFont="1" applyFill="1" applyBorder="1"/>
    <xf numFmtId="0" fontId="4" fillId="2" borderId="18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border>
        <top style="thin">
          <color theme="8" tint="0.39997558519241921"/>
        </top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</dxf>
    <dxf>
      <border>
        <bottom style="thin">
          <color theme="8" tint="0.39997558519241921"/>
        </bottom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/>
        <bottom/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3865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0038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5F0F9"/>
      <color rgb="FF003865"/>
      <color rgb="FFF5E1A4"/>
      <color rgb="FFFFC845"/>
      <color rgb="FF78BE21"/>
      <color rgb="FFE0EFD4"/>
      <color rgb="FF13A907"/>
      <color rgb="FFAC0000"/>
      <color rgb="FF19E509"/>
      <color rgb="FF5E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Rx</a:t>
            </a:r>
            <a:r>
              <a:rPr lang="en-US" b="1" baseline="0">
                <a:solidFill>
                  <a:sysClr val="windowText" lastClr="000000"/>
                </a:solidFill>
              </a:rPr>
              <a:t> Origin</a:t>
            </a:r>
          </a:p>
        </c:rich>
      </c:tx>
      <c:layout>
        <c:manualLayout>
          <c:xMode val="edge"/>
          <c:yMode val="edge"/>
          <c:x val="0.41082904798183922"/>
          <c:y val="1.6445976256620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82210097753521E-2"/>
          <c:y val="0.11057375162313231"/>
          <c:w val="0.88268284884987047"/>
          <c:h val="0.6191011817414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Calculations!$AI$2</c:f>
              <c:strCache>
                <c:ptCount val="1"/>
                <c:pt idx="0">
                  <c:v>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Calculations!$AJ$2:$AU$2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7-43B0-9011-556151A3FF35}"/>
            </c:ext>
          </c:extLst>
        </c:ser>
        <c:ser>
          <c:idx val="1"/>
          <c:order val="1"/>
          <c:tx>
            <c:strRef>
              <c:f>Calculations!$AI$3</c:f>
              <c:strCache>
                <c:ptCount val="1"/>
                <c:pt idx="0">
                  <c:v>Clinic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Calculations!$AJ$3:$AU$3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7-43B0-9011-556151A3FF35}"/>
            </c:ext>
          </c:extLst>
        </c:ser>
        <c:ser>
          <c:idx val="2"/>
          <c:order val="2"/>
          <c:tx>
            <c:strRef>
              <c:f>Calculations!$AI$4</c:f>
              <c:strCache>
                <c:ptCount val="1"/>
                <c:pt idx="0">
                  <c:v>Hospital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Calculations!$AJ$4:$AU$4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7-43B0-9011-556151A3FF35}"/>
            </c:ext>
          </c:extLst>
        </c:ser>
        <c:ser>
          <c:idx val="3"/>
          <c:order val="3"/>
          <c:tx>
            <c:strRef>
              <c:f>Calculations!$AI$5</c:f>
              <c:strCache>
                <c:ptCount val="1"/>
                <c:pt idx="0">
                  <c:v>Long-term Care Center</c:v>
                </c:pt>
              </c:strCache>
            </c:strRef>
          </c:tx>
          <c:spPr>
            <a:solidFill>
              <a:srgbClr val="AC0000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Calculations!$AJ$5:$AU$5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7-43B0-9011-556151A3FF35}"/>
            </c:ext>
          </c:extLst>
        </c:ser>
        <c:ser>
          <c:idx val="4"/>
          <c:order val="4"/>
          <c:tx>
            <c:strRef>
              <c:f>Calculations!$AI$6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13A907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Calculations!$AJ$6:$AU$6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7-43B0-9011-556151A3F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670152"/>
        <c:axId val="550666544"/>
      </c:barChart>
      <c:catAx>
        <c:axId val="55067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66544"/>
        <c:crosses val="autoZero"/>
        <c:auto val="1"/>
        <c:lblAlgn val="ctr"/>
        <c:lblOffset val="100"/>
        <c:noMultiLvlLbl val="0"/>
      </c:catAx>
      <c:valAx>
        <c:axId val="55066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Days of Therapy (DOT)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Rate per 1,000 Resident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Summary!$C$6</c:f>
              <c:strCache>
                <c:ptCount val="1"/>
                <c:pt idx="0">
                  <c:v>Rate per 1,000 Resident Days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76000"/>
                </a:schemeClr>
              </a:solidFill>
              <a:ln w="9525">
                <a:solidFill>
                  <a:schemeClr val="accent5">
                    <a:shade val="76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Summary!$C$7:$C$18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E-4D44-94C3-3E59DAD4A5DE}"/>
            </c:ext>
          </c:extLst>
        </c:ser>
        <c:ser>
          <c:idx val="3"/>
          <c:order val="3"/>
          <c:tx>
            <c:strRef>
              <c:f>Summary!$E$6</c:f>
              <c:strCache>
                <c:ptCount val="1"/>
                <c:pt idx="0">
                  <c:v>Rate per 1,000 Resident Days (Prophylaxis)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Summary!$E$7:$E$18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B-4815-B13B-C24F54A3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77040"/>
        <c:axId val="5506776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tint val="58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tint val="58000"/>
                      </a:schemeClr>
                    </a:solidFill>
                    <a:ln w="9525">
                      <a:solidFill>
                        <a:schemeClr val="accent5">
                          <a:tint val="58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Summary!$B$7:$B$18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6E-4D44-94C3-3E59DAD4A5D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Summary!$D$6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 (Prophylaxis)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shade val="8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shade val="86000"/>
                      </a:schemeClr>
                    </a:solidFill>
                    <a:ln w="9525">
                      <a:solidFill>
                        <a:schemeClr val="accent5">
                          <a:shade val="86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Summary!$D$7:$D$18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01B-4815-B13B-C24F54A31697}"/>
                  </c:ext>
                </c:extLst>
              </c15:ser>
            </c15:filteredLineSeries>
          </c:ext>
        </c:extLst>
      </c:lineChart>
      <c:catAx>
        <c:axId val="55067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696"/>
        <c:crosses val="autoZero"/>
        <c:auto val="1"/>
        <c:lblAlgn val="ctr"/>
        <c:lblOffset val="100"/>
        <c:noMultiLvlLbl val="0"/>
      </c:catAx>
      <c:valAx>
        <c:axId val="5506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 Meeting Criteria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Calculations!$BD$2</c:f>
              <c:strCache>
                <c:ptCount val="1"/>
                <c:pt idx="0">
                  <c:v>Meets Criteria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Calculations!$BE$2:$BP$2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795-B8F0-42A35A4128DB}"/>
            </c:ext>
          </c:extLst>
        </c:ser>
        <c:ser>
          <c:idx val="1"/>
          <c:order val="1"/>
          <c:tx>
            <c:strRef>
              <c:f>Calculations!$BD$3</c:f>
              <c:strCache>
                <c:ptCount val="1"/>
                <c:pt idx="0">
                  <c:v>Does Not Meet Criteria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Calculations!$BE$3:$BP$3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1-4795-B8F0-42A35A41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3851952"/>
        <c:axId val="203858184"/>
      </c:barChart>
      <c:catAx>
        <c:axId val="20385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8184"/>
        <c:crosses val="autoZero"/>
        <c:auto val="1"/>
        <c:lblAlgn val="ctr"/>
        <c:lblOffset val="100"/>
        <c:noMultiLvlLbl val="0"/>
      </c:catAx>
      <c:valAx>
        <c:axId val="2038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Infection rates 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per 1,000 resident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212970025694E-2"/>
          <c:y val="0.21391842489458532"/>
          <c:w val="0.95085346268258475"/>
          <c:h val="0.44617104100871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Summary!$I$6</c:f>
              <c:strCache>
                <c:ptCount val="1"/>
                <c:pt idx="0">
                  <c:v>Common Cold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Summary!$I$7:$I$18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1-4987-952B-788773A1B5B1}"/>
            </c:ext>
          </c:extLst>
        </c:ser>
        <c:ser>
          <c:idx val="2"/>
          <c:order val="2"/>
          <c:tx>
            <c:strRef>
              <c:f>Summary!$J$6</c:f>
              <c:strCache>
                <c:ptCount val="1"/>
                <c:pt idx="0">
                  <c:v>Pharyngitis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Summary!$J$7:$J$18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1-4987-952B-788773A1B5B1}"/>
            </c:ext>
          </c:extLst>
        </c:ser>
        <c:ser>
          <c:idx val="3"/>
          <c:order val="3"/>
          <c:tx>
            <c:strRef>
              <c:f>Summary!$K$6</c:f>
              <c:strCache>
                <c:ptCount val="1"/>
                <c:pt idx="0">
                  <c:v>Influenza-like illness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Summary!$K$7:$K$18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1-4987-952B-788773A1B5B1}"/>
            </c:ext>
          </c:extLst>
        </c:ser>
        <c:ser>
          <c:idx val="4"/>
          <c:order val="4"/>
          <c:tx>
            <c:strRef>
              <c:f>Summary!$L$6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Summary!$L$7:$L$18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1-4987-952B-788773A1B5B1}"/>
            </c:ext>
          </c:extLst>
        </c:ser>
        <c:ser>
          <c:idx val="5"/>
          <c:order val="5"/>
          <c:tx>
            <c:strRef>
              <c:f>Summary!$M$6</c:f>
              <c:strCache>
                <c:ptCount val="1"/>
                <c:pt idx="0">
                  <c:v>Lower Resp. Tract</c:v>
                </c:pt>
              </c:strCache>
            </c:strRef>
          </c:tx>
          <c:spPr>
            <a:solidFill>
              <a:srgbClr val="1E9A3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Summary!$M$7:$M$18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1-4987-952B-788773A1B5B1}"/>
            </c:ext>
          </c:extLst>
        </c:ser>
        <c:ser>
          <c:idx val="6"/>
          <c:order val="6"/>
          <c:tx>
            <c:strRef>
              <c:f>Summary!$N$6</c:f>
              <c:strCache>
                <c:ptCount val="1"/>
                <c:pt idx="0">
                  <c:v>Upper Resp. Tract</c:v>
                </c:pt>
              </c:strCache>
            </c:strRef>
          </c:tx>
          <c:spPr>
            <a:solidFill>
              <a:srgbClr val="5597D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Summary!$N$7:$N$18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1-4987-952B-788773A1B5B1}"/>
            </c:ext>
          </c:extLst>
        </c:ser>
        <c:ser>
          <c:idx val="7"/>
          <c:order val="7"/>
          <c:tx>
            <c:strRef>
              <c:f>Summary!$O$6</c:f>
              <c:strCache>
                <c:ptCount val="1"/>
                <c:pt idx="0">
                  <c:v>UTI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Summary!$O$7:$O$18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1-4987-952B-788773A1B5B1}"/>
            </c:ext>
          </c:extLst>
        </c:ser>
        <c:ser>
          <c:idx val="8"/>
          <c:order val="8"/>
          <c:tx>
            <c:strRef>
              <c:f>Summary!$P$6</c:f>
              <c:strCache>
                <c:ptCount val="1"/>
                <c:pt idx="0">
                  <c:v>Gastroenteritis</c:v>
                </c:pt>
              </c:strCache>
            </c:strRef>
          </c:tx>
          <c:spPr>
            <a:solidFill>
              <a:srgbClr val="9D810B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Summary!$P$7:$P$18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1-4987-952B-788773A1B5B1}"/>
            </c:ext>
          </c:extLst>
        </c:ser>
        <c:ser>
          <c:idx val="9"/>
          <c:order val="9"/>
          <c:tx>
            <c:strRef>
              <c:f>Summary!$Q$6</c:f>
              <c:strCache>
                <c:ptCount val="1"/>
                <c:pt idx="0">
                  <c:v>Norovirus</c:v>
                </c:pt>
              </c:strCache>
            </c:strRef>
          </c:tx>
          <c:spPr>
            <a:solidFill>
              <a:srgbClr val="F676F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Summary!$Q$7:$Q$18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A1-4987-952B-788773A1B5B1}"/>
            </c:ext>
          </c:extLst>
        </c:ser>
        <c:ser>
          <c:idx val="10"/>
          <c:order val="10"/>
          <c:tx>
            <c:strRef>
              <c:f>Summary!$R$6</c:f>
              <c:strCache>
                <c:ptCount val="1"/>
                <c:pt idx="0">
                  <c:v>Clostridium difficile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Summary!$R$7:$R$18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1-4987-952B-788773A1B5B1}"/>
            </c:ext>
          </c:extLst>
        </c:ser>
        <c:ser>
          <c:idx val="11"/>
          <c:order val="11"/>
          <c:tx>
            <c:strRef>
              <c:f>Summary!$S$6</c:f>
              <c:strCache>
                <c:ptCount val="1"/>
                <c:pt idx="0">
                  <c:v>Cellulitis/ Soft Tissue/ Wound</c:v>
                </c:pt>
              </c:strCache>
            </c:strRef>
          </c:tx>
          <c:spPr>
            <a:solidFill>
              <a:srgbClr val="5EF85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Summary!$S$7:$S$18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A1-4987-952B-788773A1B5B1}"/>
            </c:ext>
          </c:extLst>
        </c:ser>
        <c:ser>
          <c:idx val="12"/>
          <c:order val="12"/>
          <c:tx>
            <c:strRef>
              <c:f>Summary!$T$6</c:f>
              <c:strCache>
                <c:ptCount val="1"/>
                <c:pt idx="0">
                  <c:v>Scabies</c:v>
                </c:pt>
              </c:strCache>
            </c:strRef>
          </c:tx>
          <c:spPr>
            <a:solidFill>
              <a:srgbClr val="6262D8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Summary!$T$7:$T$18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A1-4987-952B-788773A1B5B1}"/>
            </c:ext>
          </c:extLst>
        </c:ser>
        <c:ser>
          <c:idx val="13"/>
          <c:order val="13"/>
          <c:tx>
            <c:strRef>
              <c:f>Summary!$U$6</c:f>
              <c:strCache>
                <c:ptCount val="1"/>
                <c:pt idx="0">
                  <c:v>Lice</c:v>
                </c:pt>
              </c:strCache>
            </c:strRef>
          </c:tx>
          <c:spPr>
            <a:solidFill>
              <a:srgbClr val="53EFF7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Summary!$U$7:$U$18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1-4987-952B-788773A1B5B1}"/>
            </c:ext>
          </c:extLst>
        </c:ser>
        <c:ser>
          <c:idx val="14"/>
          <c:order val="14"/>
          <c:tx>
            <c:strRef>
              <c:f>Summary!$V$6</c:f>
              <c:strCache>
                <c:ptCount val="1"/>
                <c:pt idx="0">
                  <c:v>Ear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Summary!$V$7:$V$18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A1-4987-952B-788773A1B5B1}"/>
            </c:ext>
          </c:extLst>
        </c:ser>
        <c:ser>
          <c:idx val="15"/>
          <c:order val="15"/>
          <c:tx>
            <c:strRef>
              <c:f>Summary!$W$6</c:f>
              <c:strCache>
                <c:ptCount val="1"/>
                <c:pt idx="0">
                  <c:v>Eye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Summary!$W$7:$W$18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A1-4987-952B-788773A1B5B1}"/>
            </c:ext>
          </c:extLst>
        </c:ser>
        <c:ser>
          <c:idx val="16"/>
          <c:order val="16"/>
          <c:tx>
            <c:strRef>
              <c:f>Summary!$X$6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Summary!$X$7:$X$18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A1-4987-952B-788773A1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231864"/>
        <c:axId val="376225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Summary!$H$6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Summary!$G$7:$G$18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Summary!$H$7:$H$18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4A1-4987-952B-788773A1B5B1}"/>
                  </c:ext>
                </c:extLst>
              </c15:ser>
            </c15:filteredBarSeries>
          </c:ext>
        </c:extLst>
      </c:barChart>
      <c:catAx>
        <c:axId val="3762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25304"/>
        <c:crosses val="autoZero"/>
        <c:auto val="1"/>
        <c:lblAlgn val="ctr"/>
        <c:lblOffset val="100"/>
        <c:tickMarkSkip val="1"/>
        <c:noMultiLvlLbl val="0"/>
      </c:catAx>
      <c:valAx>
        <c:axId val="37622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Antimicrobial Class Utilization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Calculations!$CU$2:$CU$25</c:f>
              <c:strCache>
                <c:ptCount val="24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Folate pathway inhibitors</c:v>
                </c:pt>
                <c:pt idx="6">
                  <c:v>Fosfomycins</c:v>
                </c:pt>
                <c:pt idx="7">
                  <c:v>Glycopeptides</c:v>
                </c:pt>
                <c:pt idx="8">
                  <c:v>Ketolides</c:v>
                </c:pt>
                <c:pt idx="9">
                  <c:v>Lincosamides</c:v>
                </c:pt>
                <c:pt idx="10">
                  <c:v>Lipopeptides</c:v>
                </c:pt>
                <c:pt idx="11">
                  <c:v>M2 ion channel inhibitors</c:v>
                </c:pt>
                <c:pt idx="12">
                  <c:v>Macrocyclic</c:v>
                </c:pt>
                <c:pt idx="13">
                  <c:v>Macrolides</c:v>
                </c:pt>
                <c:pt idx="14">
                  <c:v>Monobactams</c:v>
                </c:pt>
                <c:pt idx="15">
                  <c:v>Nitrofurans</c:v>
                </c:pt>
                <c:pt idx="16">
                  <c:v>Nitroimidazoles</c:v>
                </c:pt>
                <c:pt idx="17">
                  <c:v>Oxazolidinones</c:v>
                </c:pt>
                <c:pt idx="18">
                  <c:v>Penicillins</c:v>
                </c:pt>
                <c:pt idx="19">
                  <c:v>Phenicols</c:v>
                </c:pt>
                <c:pt idx="20">
                  <c:v>Polymyxins</c:v>
                </c:pt>
                <c:pt idx="21">
                  <c:v>Rifampin</c:v>
                </c:pt>
                <c:pt idx="22">
                  <c:v>Streptogramins</c:v>
                </c:pt>
                <c:pt idx="23">
                  <c:v>Tetracyclines</c:v>
                </c:pt>
              </c:strCache>
            </c:strRef>
          </c:cat>
          <c:val>
            <c:numRef>
              <c:f>Calculations!$CV$2:$CV$25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C-4B2E-90B9-54D583FED8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7481648"/>
        <c:axId val="617482960"/>
      </c:barChart>
      <c:valAx>
        <c:axId val="61748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1648"/>
        <c:crosses val="autoZero"/>
        <c:crossBetween val="between"/>
      </c:valAx>
      <c:catAx>
        <c:axId val="61748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581022</xdr:colOff>
      <xdr:row>3</xdr:row>
      <xdr:rowOff>171450</xdr:rowOff>
    </xdr:from>
    <xdr:to>
      <xdr:col>12</xdr:col>
      <xdr:colOff>476250</xdr:colOff>
      <xdr:row>30</xdr:row>
      <xdr:rowOff>28575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71922" y="1314450"/>
          <a:ext cx="7010403" cy="5000625"/>
        </a:xfrm>
        <a:prstGeom prst="roundRect">
          <a:avLst/>
        </a:prstGeom>
        <a:solidFill>
          <a:srgbClr val="E5F0F9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Days present is defined as the number of patients who were present for any portion of each day of a calendar month in any patient care location.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take the number of residents and total how many days each were present at the facility for the month: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1: 30 days 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2: 8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3: 22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Total resident days = 30 + 8 + 22 = 60 resident days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1538559</xdr:colOff>
      <xdr:row>2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6850</xdr:colOff>
      <xdr:row>2</xdr:row>
      <xdr:rowOff>175260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0"/>
          <a:ext cx="61645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36</xdr:row>
      <xdr:rowOff>9524</xdr:rowOff>
    </xdr:from>
    <xdr:to>
      <xdr:col>9</xdr:col>
      <xdr:colOff>57151</xdr:colOff>
      <xdr:row>52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0</xdr:rowOff>
    </xdr:from>
    <xdr:to>
      <xdr:col>8</xdr:col>
      <xdr:colOff>342900</xdr:colOff>
      <xdr:row>34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36</xdr:row>
      <xdr:rowOff>0</xdr:rowOff>
    </xdr:from>
    <xdr:to>
      <xdr:col>15</xdr:col>
      <xdr:colOff>723900</xdr:colOff>
      <xdr:row>52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542924</xdr:colOff>
      <xdr:row>18</xdr:row>
      <xdr:rowOff>180975</xdr:rowOff>
    </xdr:from>
    <xdr:to>
      <xdr:col>24</xdr:col>
      <xdr:colOff>9524</xdr:colOff>
      <xdr:row>35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942977</xdr:colOff>
      <xdr:row>36</xdr:row>
      <xdr:rowOff>9525</xdr:rowOff>
    </xdr:from>
    <xdr:to>
      <xdr:col>24</xdr:col>
      <xdr:colOff>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109809</xdr:colOff>
      <xdr:row>2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616450</xdr:colOff>
      <xdr:row>2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0500"/>
          <a:ext cx="61645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ys_Present" displayName="Days_Present" ref="A6:B18" totalsRowShown="0" headerRowDxfId="544" headerRowBorderDxfId="543" tableBorderDxfId="542" totalsRowBorderDxfId="541">
  <tableColumns count="2">
    <tableColumn id="1" xr3:uid="{00000000-0010-0000-0000-000001000000}" name="Month" dataDxfId="540"/>
    <tableColumn id="2" xr3:uid="{00000000-0010-0000-0000-000002000000}" name="Resident Days Present per Month" dataDxfId="53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9000000}" name="Tracking_Table131619222932" displayName="Tracking_Table131619222932" ref="A2:AM53" totalsRowShown="0" headerRowDxfId="265" dataDxfId="263" headerRowBorderDxfId="264">
  <autoFilter ref="A2:AM53" xr:uid="{00000000-0009-0000-0100-00001F000000}"/>
  <tableColumns count="39">
    <tableColumn id="1" xr3:uid="{00000000-0010-0000-0900-000001000000}" name="Unit Name" dataDxfId="262"/>
    <tableColumn id="2" xr3:uid="{00000000-0010-0000-0900-000002000000}" name="Resident Name" dataDxfId="261"/>
    <tableColumn id="3" xr3:uid="{00000000-0010-0000-0900-000003000000}" name="Room #" dataDxfId="260"/>
    <tableColumn id="4" xr3:uid="{00000000-0010-0000-0900-000004000000}" name="Admit Date" dataDxfId="259"/>
    <tableColumn id="25" xr3:uid="{00000000-0010-0000-0900-000019000000}" name="Existing Infection from Previous Month(s)? Y/N" dataDxfId="258"/>
    <tableColumn id="5" xr3:uid="{00000000-0010-0000-0900-000005000000}" name="Infection type" dataDxfId="257"/>
    <tableColumn id="6" xr3:uid="{00000000-0010-0000-0900-000006000000}" name="Body System of Infection" dataDxfId="256">
      <calculatedColumnFormula>IFERROR(VLOOKUP(F3,Lookups!$D$2:$E$18,2,FALSE),"")</calculatedColumnFormula>
    </tableColumn>
    <tableColumn id="7" xr3:uid="{00000000-0010-0000-0900-000007000000}" name="Surveillance definition met? Y/N" dataDxfId="255"/>
    <tableColumn id="11" xr3:uid="{00000000-0010-0000-0900-00000B000000}" name="Symptom(s)" dataDxfId="254"/>
    <tableColumn id="12" xr3:uid="{00000000-0010-0000-0900-00000C000000}" name="Onset Date" dataDxfId="253"/>
    <tableColumn id="13" xr3:uid="{00000000-0010-0000-0900-00000D000000}" name="Device Type(s)" dataDxfId="252"/>
    <tableColumn id="14" xr3:uid="{00000000-0010-0000-0900-00000E000000}" name="Date(s) of Insertion" dataDxfId="251"/>
    <tableColumn id="15" xr3:uid="{00000000-0010-0000-0900-00000F000000}" name="Date(s) of Removal " dataDxfId="250"/>
    <tableColumn id="16" xr3:uid="{00000000-0010-0000-0900-000010000000}" name="Device Days" dataDxfId="249">
      <calculatedColumnFormula>IF(OR(ISBLANK(L3),ISBLANK(M3)),"",(M3-L3)+1)</calculatedColumnFormula>
    </tableColumn>
    <tableColumn id="17" xr3:uid="{00000000-0010-0000-0900-000011000000}" name="Infection Risk Factors" dataDxfId="248"/>
    <tableColumn id="18" xr3:uid="{00000000-0010-0000-0900-000012000000}" name="Diagnostic Performed? Y/N" dataDxfId="247"/>
    <tableColumn id="19" xr3:uid="{00000000-0010-0000-0900-000013000000}" name="Test Date" dataDxfId="246"/>
    <tableColumn id="20" xr3:uid="{00000000-0010-0000-0900-000014000000}" name="Type of Test" dataDxfId="245"/>
    <tableColumn id="21" xr3:uid="{00000000-0010-0000-0900-000015000000}" name="Specimen Source" dataDxfId="244"/>
    <tableColumn id="22" xr3:uid="{00000000-0010-0000-0900-000016000000}" name="Results (Organism colony counts for urine)" dataDxfId="243"/>
    <tableColumn id="23" xr3:uid="{00000000-0010-0000-0900-000017000000}" name="Antibiotic Resistant Organism? Y/N" dataDxfId="242"/>
    <tableColumn id="24" xr3:uid="{00000000-0010-0000-0900-000018000000}" name="If Yes, Specify:" dataDxfId="241"/>
    <tableColumn id="26" xr3:uid="{00000000-0010-0000-0900-00001A000000}" name="Antibiotic Name" dataDxfId="240"/>
    <tableColumn id="63" xr3:uid="{00000000-0010-0000-0900-00003F000000}" name="Class" dataDxfId="239">
      <calculatedColumnFormula>IFERROR(VLOOKUP(W3,Lookups!$G$2:$H$77,2,FALSE),"")</calculatedColumnFormula>
    </tableColumn>
    <tableColumn id="54" xr3:uid="{00000000-0010-0000-0900-000036000000}" name="Dose" dataDxfId="238"/>
    <tableColumn id="55" xr3:uid="{00000000-0010-0000-0900-000037000000}" name="Route" dataDxfId="237"/>
    <tableColumn id="56" xr3:uid="{00000000-0010-0000-0900-000038000000}" name="Frequency" dataDxfId="236"/>
    <tableColumn id="27" xr3:uid="{00000000-0010-0000-0900-00001B000000}" name="Provider" dataDxfId="235"/>
    <tableColumn id="28" xr3:uid="{00000000-0010-0000-0900-00001C000000}" name="Antimicrobial RX Origin" dataDxfId="234"/>
    <tableColumn id="29" xr3:uid="{00000000-0010-0000-0900-00001D000000}" name="Antibiotic Start Date" dataDxfId="233"/>
    <tableColumn id="30" xr3:uid="{00000000-0010-0000-0900-00001E000000}" name="Antibiotic End Date" dataDxfId="232"/>
    <tableColumn id="31" xr3:uid="{00000000-0010-0000-0900-00001F000000}" name="Total Days of Therapy " dataDxfId="231">
      <calculatedColumnFormula>IF(OR(ISBLANK(AD3),ISBLANK(AE3)),"",(AE3-AD3)+1)</calculatedColumnFormula>
    </tableColumn>
    <tableColumn id="32" xr3:uid="{00000000-0010-0000-0900-000020000000}" name="Meets Criteria? Y/N" dataDxfId="230"/>
    <tableColumn id="33" xr3:uid="{00000000-0010-0000-0900-000021000000}" name="Antibiotic Reassessment (Antibiotic &quot;Time outs&quot;) Performed? Y/N" dataDxfId="229"/>
    <tableColumn id="9" xr3:uid="{00000000-0010-0000-0900-000009000000}" name="Other Antimicrobials Prescribed Name" dataDxfId="228"/>
    <tableColumn id="8" xr3:uid="{00000000-0010-0000-0900-000008000000}" name="Other Antimicrobials Prescribed Class" dataDxfId="227">
      <calculatedColumnFormula>IFERROR(VLOOKUP(AI3,Lookups!$W$2:$X$15,2,FALSE),"")</calculatedColumnFormula>
    </tableColumn>
    <tableColumn id="51" xr3:uid="{00000000-0010-0000-0900-000033000000}" name="Transmission-based Precautions required? Y/N " dataDxfId="226"/>
    <tableColumn id="52" xr3:uid="{00000000-0010-0000-0900-000034000000}" name="If Yes, Specify" dataDxfId="225"/>
    <tableColumn id="53" xr3:uid="{00000000-0010-0000-0900-000035000000}" name="Date Symptoms Resolved " dataDxfId="2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A000000}" name="Tracking_Table13161922293235" displayName="Tracking_Table13161922293235" ref="A2:AM53" totalsRowShown="0" headerRowDxfId="223" dataDxfId="221" headerRowBorderDxfId="222">
  <autoFilter ref="A2:AM53" xr:uid="{00000000-0009-0000-0100-000022000000}"/>
  <tableColumns count="39">
    <tableColumn id="1" xr3:uid="{00000000-0010-0000-0A00-000001000000}" name="Unit Name" dataDxfId="220"/>
    <tableColumn id="2" xr3:uid="{00000000-0010-0000-0A00-000002000000}" name="Resident Name" dataDxfId="219"/>
    <tableColumn id="3" xr3:uid="{00000000-0010-0000-0A00-000003000000}" name="Room #" dataDxfId="218"/>
    <tableColumn id="4" xr3:uid="{00000000-0010-0000-0A00-000004000000}" name="Admit Date" dataDxfId="217"/>
    <tableColumn id="25" xr3:uid="{00000000-0010-0000-0A00-000019000000}" name="Existing Infection from Previous Month(s)? Y/N" dataDxfId="216"/>
    <tableColumn id="5" xr3:uid="{00000000-0010-0000-0A00-000005000000}" name="Infection type" dataDxfId="215"/>
    <tableColumn id="6" xr3:uid="{00000000-0010-0000-0A00-000006000000}" name="Body System of Infection" dataDxfId="214">
      <calculatedColumnFormula>IFERROR(VLOOKUP(F3,Lookups!$D$2:$E$18,2,FALSE),"")</calculatedColumnFormula>
    </tableColumn>
    <tableColumn id="7" xr3:uid="{00000000-0010-0000-0A00-000007000000}" name="Surveillance definition met? Y/N" dataDxfId="213"/>
    <tableColumn id="11" xr3:uid="{00000000-0010-0000-0A00-00000B000000}" name="Symptom(s)" dataDxfId="212"/>
    <tableColumn id="12" xr3:uid="{00000000-0010-0000-0A00-00000C000000}" name="Onset Date" dataDxfId="211"/>
    <tableColumn id="13" xr3:uid="{00000000-0010-0000-0A00-00000D000000}" name="Device Type(s)" dataDxfId="210"/>
    <tableColumn id="14" xr3:uid="{00000000-0010-0000-0A00-00000E000000}" name="Date(s) of Insertion" dataDxfId="209"/>
    <tableColumn id="15" xr3:uid="{00000000-0010-0000-0A00-00000F000000}" name="Date(s) of Removal " dataDxfId="208"/>
    <tableColumn id="16" xr3:uid="{00000000-0010-0000-0A00-000010000000}" name="Device Days" dataDxfId="207">
      <calculatedColumnFormula>IF(OR(ISBLANK(L3),ISBLANK(M3)),"",(M3-L3)+1)</calculatedColumnFormula>
    </tableColumn>
    <tableColumn id="17" xr3:uid="{00000000-0010-0000-0A00-000011000000}" name="Infection Risk Factors" dataDxfId="206"/>
    <tableColumn id="18" xr3:uid="{00000000-0010-0000-0A00-000012000000}" name="Diagnostic Performed? Y/N" dataDxfId="205"/>
    <tableColumn id="19" xr3:uid="{00000000-0010-0000-0A00-000013000000}" name="Test Date" dataDxfId="204"/>
    <tableColumn id="20" xr3:uid="{00000000-0010-0000-0A00-000014000000}" name="Type of Test" dataDxfId="203"/>
    <tableColumn id="21" xr3:uid="{00000000-0010-0000-0A00-000015000000}" name="Specimen Source" dataDxfId="202"/>
    <tableColumn id="22" xr3:uid="{00000000-0010-0000-0A00-000016000000}" name="Results (Organism colony counts for urine)" dataDxfId="201"/>
    <tableColumn id="23" xr3:uid="{00000000-0010-0000-0A00-000017000000}" name="Antibiotic Resistant Organism? Y/N" dataDxfId="200"/>
    <tableColumn id="24" xr3:uid="{00000000-0010-0000-0A00-000018000000}" name="If Yes, Specify:" dataDxfId="199"/>
    <tableColumn id="26" xr3:uid="{00000000-0010-0000-0A00-00001A000000}" name="Antibiotic Name" dataDxfId="198"/>
    <tableColumn id="63" xr3:uid="{00000000-0010-0000-0A00-00003F000000}" name="Class" dataDxfId="197">
      <calculatedColumnFormula>IFERROR(VLOOKUP(W3,Lookups!$G$2:$H$77,2,FALSE),"")</calculatedColumnFormula>
    </tableColumn>
    <tableColumn id="54" xr3:uid="{00000000-0010-0000-0A00-000036000000}" name="Dose" dataDxfId="196"/>
    <tableColumn id="55" xr3:uid="{00000000-0010-0000-0A00-000037000000}" name="Route" dataDxfId="195"/>
    <tableColumn id="56" xr3:uid="{00000000-0010-0000-0A00-000038000000}" name="Frequency" dataDxfId="194"/>
    <tableColumn id="27" xr3:uid="{00000000-0010-0000-0A00-00001B000000}" name="Provider" dataDxfId="193"/>
    <tableColumn id="28" xr3:uid="{00000000-0010-0000-0A00-00001C000000}" name="Antimicrobial RX Origin" dataDxfId="192"/>
    <tableColumn id="29" xr3:uid="{00000000-0010-0000-0A00-00001D000000}" name="Antibiotic Start Date" dataDxfId="191"/>
    <tableColumn id="30" xr3:uid="{00000000-0010-0000-0A00-00001E000000}" name="Antibiotic End Date" dataDxfId="190"/>
    <tableColumn id="31" xr3:uid="{00000000-0010-0000-0A00-00001F000000}" name="Total Days of Therapy " dataDxfId="189">
      <calculatedColumnFormula>IF(OR(ISBLANK(AD3),ISBLANK(AE3)),"",(AE3-AD3)+1)</calculatedColumnFormula>
    </tableColumn>
    <tableColumn id="32" xr3:uid="{00000000-0010-0000-0A00-000020000000}" name="Meets Criteria? Y/N" dataDxfId="188"/>
    <tableColumn id="33" xr3:uid="{00000000-0010-0000-0A00-000021000000}" name="Antibiotic Reassessment (Antibiotic &quot;Time outs&quot;) Performed? Y/N" dataDxfId="187"/>
    <tableColumn id="9" xr3:uid="{00000000-0010-0000-0A00-000009000000}" name="Other Antimicrobials Prescribed Name" dataDxfId="186"/>
    <tableColumn id="8" xr3:uid="{00000000-0010-0000-0A00-000008000000}" name="Other Antimicrobials Prescribed Class" dataDxfId="185">
      <calculatedColumnFormula>IFERROR(VLOOKUP(AI3,Lookups!$W$2:$X$15,2,FALSE),"")</calculatedColumnFormula>
    </tableColumn>
    <tableColumn id="51" xr3:uid="{00000000-0010-0000-0A00-000033000000}" name="Transmission-based Precautions required? Y/N " dataDxfId="184"/>
    <tableColumn id="52" xr3:uid="{00000000-0010-0000-0A00-000034000000}" name="If Yes, Specify" dataDxfId="183"/>
    <tableColumn id="53" xr3:uid="{00000000-0010-0000-0A00-000035000000}" name="Date Symptoms Resolved " dataDxfId="18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B000000}" name="Tracking_Table1316192229323536" displayName="Tracking_Table1316192229323536" ref="A2:AM53" totalsRowShown="0" headerRowDxfId="181" dataDxfId="179" headerRowBorderDxfId="180">
  <autoFilter ref="A2:AM53" xr:uid="{00000000-0009-0000-0100-000023000000}"/>
  <tableColumns count="39">
    <tableColumn id="1" xr3:uid="{00000000-0010-0000-0B00-000001000000}" name="Unit Name" dataDxfId="178"/>
    <tableColumn id="2" xr3:uid="{00000000-0010-0000-0B00-000002000000}" name="Resident Name" dataDxfId="177"/>
    <tableColumn id="3" xr3:uid="{00000000-0010-0000-0B00-000003000000}" name="Room #" dataDxfId="176"/>
    <tableColumn id="4" xr3:uid="{00000000-0010-0000-0B00-000004000000}" name="Admit Date" dataDxfId="175"/>
    <tableColumn id="25" xr3:uid="{00000000-0010-0000-0B00-000019000000}" name="Existing Infection from Previous Month(s)? Y/N" dataDxfId="174"/>
    <tableColumn id="5" xr3:uid="{00000000-0010-0000-0B00-000005000000}" name="Infection type" dataDxfId="173"/>
    <tableColumn id="6" xr3:uid="{00000000-0010-0000-0B00-000006000000}" name="Body System of Infection" dataDxfId="172">
      <calculatedColumnFormula>IFERROR(VLOOKUP(F3,Lookups!$D$2:$E$18,2,FALSE),"")</calculatedColumnFormula>
    </tableColumn>
    <tableColumn id="7" xr3:uid="{00000000-0010-0000-0B00-000007000000}" name="Surveillance definition met? Y/N" dataDxfId="171"/>
    <tableColumn id="11" xr3:uid="{00000000-0010-0000-0B00-00000B000000}" name="Symptom(s)" dataDxfId="170"/>
    <tableColumn id="12" xr3:uid="{00000000-0010-0000-0B00-00000C000000}" name="Onset Date" dataDxfId="169"/>
    <tableColumn id="13" xr3:uid="{00000000-0010-0000-0B00-00000D000000}" name="Device Type(s)" dataDxfId="168"/>
    <tableColumn id="14" xr3:uid="{00000000-0010-0000-0B00-00000E000000}" name="Date(s) of Insertion" dataDxfId="167"/>
    <tableColumn id="15" xr3:uid="{00000000-0010-0000-0B00-00000F000000}" name="Date(s) of Removal " dataDxfId="166"/>
    <tableColumn id="16" xr3:uid="{00000000-0010-0000-0B00-000010000000}" name="Device Days" dataDxfId="165">
      <calculatedColumnFormula>IF(OR(ISBLANK(L3),ISBLANK(M3)),"",(M3-L3)+1)</calculatedColumnFormula>
    </tableColumn>
    <tableColumn id="17" xr3:uid="{00000000-0010-0000-0B00-000011000000}" name="Infection Risk Factors" dataDxfId="164"/>
    <tableColumn id="18" xr3:uid="{00000000-0010-0000-0B00-000012000000}" name="Diagnostic Performed? Y/N" dataDxfId="163"/>
    <tableColumn id="19" xr3:uid="{00000000-0010-0000-0B00-000013000000}" name="Test Date" dataDxfId="162"/>
    <tableColumn id="20" xr3:uid="{00000000-0010-0000-0B00-000014000000}" name="Type of Test" dataDxfId="161"/>
    <tableColumn id="21" xr3:uid="{00000000-0010-0000-0B00-000015000000}" name="Specimen Source" dataDxfId="160"/>
    <tableColumn id="22" xr3:uid="{00000000-0010-0000-0B00-000016000000}" name="Results (Organism colony counts for urine)" dataDxfId="159"/>
    <tableColumn id="23" xr3:uid="{00000000-0010-0000-0B00-000017000000}" name="Antibiotic Resistant Organism? Y/N" dataDxfId="158"/>
    <tableColumn id="24" xr3:uid="{00000000-0010-0000-0B00-000018000000}" name="If Yes, Specify:" dataDxfId="157"/>
    <tableColumn id="26" xr3:uid="{00000000-0010-0000-0B00-00001A000000}" name="Antibiotic Name" dataDxfId="156"/>
    <tableColumn id="63" xr3:uid="{00000000-0010-0000-0B00-00003F000000}" name="Class" dataDxfId="155">
      <calculatedColumnFormula>IFERROR(VLOOKUP(W3,Lookups!$G$2:$H$77,2,FALSE),"")</calculatedColumnFormula>
    </tableColumn>
    <tableColumn id="54" xr3:uid="{00000000-0010-0000-0B00-000036000000}" name="Dose" dataDxfId="154"/>
    <tableColumn id="55" xr3:uid="{00000000-0010-0000-0B00-000037000000}" name="Route" dataDxfId="153"/>
    <tableColumn id="56" xr3:uid="{00000000-0010-0000-0B00-000038000000}" name="Frequency" dataDxfId="152"/>
    <tableColumn id="27" xr3:uid="{00000000-0010-0000-0B00-00001B000000}" name="Provider" dataDxfId="151"/>
    <tableColumn id="28" xr3:uid="{00000000-0010-0000-0B00-00001C000000}" name="Antimicrobial RX Origin" dataDxfId="150"/>
    <tableColumn id="29" xr3:uid="{00000000-0010-0000-0B00-00001D000000}" name="Antibiotic Start Date" dataDxfId="149"/>
    <tableColumn id="30" xr3:uid="{00000000-0010-0000-0B00-00001E000000}" name="Antibiotic End Date" dataDxfId="148"/>
    <tableColumn id="31" xr3:uid="{00000000-0010-0000-0B00-00001F000000}" name="Total Days of Therapy " dataDxfId="147">
      <calculatedColumnFormula>IF(OR(ISBLANK(AD3),ISBLANK(AE3)),"",(AE3-AD3)+1)</calculatedColumnFormula>
    </tableColumn>
    <tableColumn id="32" xr3:uid="{00000000-0010-0000-0B00-000020000000}" name="Meets Criteria? Y/N" dataDxfId="146"/>
    <tableColumn id="33" xr3:uid="{00000000-0010-0000-0B00-000021000000}" name="Antibiotic Reassessment (Antibiotic &quot;Time outs&quot;) Performed? Y/N" dataDxfId="145"/>
    <tableColumn id="9" xr3:uid="{00000000-0010-0000-0B00-000009000000}" name="Other Antimicrobials Prescribed Name" dataDxfId="144"/>
    <tableColumn id="8" xr3:uid="{00000000-0010-0000-0B00-000008000000}" name="Other Antimicrobials Prescribed Class" dataDxfId="143">
      <calculatedColumnFormula>IFERROR(VLOOKUP(AI3,Lookups!$W$2:$X$15,2,FALSE),"")</calculatedColumnFormula>
    </tableColumn>
    <tableColumn id="51" xr3:uid="{00000000-0010-0000-0B00-000033000000}" name="Transmission-based Precautions required? Y/N " dataDxfId="142"/>
    <tableColumn id="52" xr3:uid="{00000000-0010-0000-0B00-000034000000}" name="If Yes, Specify" dataDxfId="141"/>
    <tableColumn id="53" xr3:uid="{00000000-0010-0000-0B00-000035000000}" name="Date Symptoms Resolved " dataDxfId="14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C000000}" name="Tracking_Table131619222932353638" displayName="Tracking_Table131619222932353638" ref="A2:AM53" totalsRowShown="0" headerRowDxfId="139" dataDxfId="137" headerRowBorderDxfId="138">
  <autoFilter ref="A2:AM53" xr:uid="{00000000-0009-0000-0100-000025000000}"/>
  <tableColumns count="39">
    <tableColumn id="1" xr3:uid="{00000000-0010-0000-0C00-000001000000}" name="Unit Name" dataDxfId="136"/>
    <tableColumn id="2" xr3:uid="{00000000-0010-0000-0C00-000002000000}" name="Resident Name" dataDxfId="135"/>
    <tableColumn id="3" xr3:uid="{00000000-0010-0000-0C00-000003000000}" name="Room #" dataDxfId="134"/>
    <tableColumn id="4" xr3:uid="{00000000-0010-0000-0C00-000004000000}" name="Admit Date" dataDxfId="133"/>
    <tableColumn id="25" xr3:uid="{00000000-0010-0000-0C00-000019000000}" name="Existing Infection from Previous Month(s)? Y/N" dataDxfId="132"/>
    <tableColumn id="5" xr3:uid="{00000000-0010-0000-0C00-000005000000}" name="Infection type" dataDxfId="131"/>
    <tableColumn id="6" xr3:uid="{00000000-0010-0000-0C00-000006000000}" name="Body System of Infection" dataDxfId="130">
      <calculatedColumnFormula>IFERROR(VLOOKUP(F3,Lookups!$D$2:$E$18,2,FALSE),"")</calculatedColumnFormula>
    </tableColumn>
    <tableColumn id="7" xr3:uid="{00000000-0010-0000-0C00-000007000000}" name="Surveillance definition met? Y/N" dataDxfId="129"/>
    <tableColumn id="11" xr3:uid="{00000000-0010-0000-0C00-00000B000000}" name="Symptom(s)" dataDxfId="128"/>
    <tableColumn id="12" xr3:uid="{00000000-0010-0000-0C00-00000C000000}" name="Onset Date" dataDxfId="127"/>
    <tableColumn id="13" xr3:uid="{00000000-0010-0000-0C00-00000D000000}" name="Device Type(s)" dataDxfId="126"/>
    <tableColumn id="14" xr3:uid="{00000000-0010-0000-0C00-00000E000000}" name="Date(s) of Insertion" dataDxfId="125"/>
    <tableColumn id="15" xr3:uid="{00000000-0010-0000-0C00-00000F000000}" name="Date(s) of Removal " dataDxfId="124"/>
    <tableColumn id="16" xr3:uid="{00000000-0010-0000-0C00-000010000000}" name="Device Days" dataDxfId="123">
      <calculatedColumnFormula>IF(OR(ISBLANK(L3),ISBLANK(M3)),"",(M3-L3)+1)</calculatedColumnFormula>
    </tableColumn>
    <tableColumn id="17" xr3:uid="{00000000-0010-0000-0C00-000011000000}" name="Infection Risk Factors" dataDxfId="122"/>
    <tableColumn id="18" xr3:uid="{00000000-0010-0000-0C00-000012000000}" name="Diagnostic Performed? Y/N" dataDxfId="121"/>
    <tableColumn id="19" xr3:uid="{00000000-0010-0000-0C00-000013000000}" name="Test Date" dataDxfId="120"/>
    <tableColumn id="20" xr3:uid="{00000000-0010-0000-0C00-000014000000}" name="Type of Test" dataDxfId="119"/>
    <tableColumn id="21" xr3:uid="{00000000-0010-0000-0C00-000015000000}" name="Specimen Source" dataDxfId="118"/>
    <tableColumn id="22" xr3:uid="{00000000-0010-0000-0C00-000016000000}" name="Results (Organism colony counts for urine)" dataDxfId="117"/>
    <tableColumn id="23" xr3:uid="{00000000-0010-0000-0C00-000017000000}" name="Antibiotic Resistant Organism? Y/N" dataDxfId="116"/>
    <tableColumn id="24" xr3:uid="{00000000-0010-0000-0C00-000018000000}" name="If Yes, Specify:" dataDxfId="115"/>
    <tableColumn id="26" xr3:uid="{00000000-0010-0000-0C00-00001A000000}" name="Antibiotic Name" dataDxfId="114"/>
    <tableColumn id="63" xr3:uid="{00000000-0010-0000-0C00-00003F000000}" name="Class" dataDxfId="113">
      <calculatedColumnFormula>IFERROR(VLOOKUP(W3,Lookups!$G$2:$H$77,2,FALSE),"")</calculatedColumnFormula>
    </tableColumn>
    <tableColumn id="54" xr3:uid="{00000000-0010-0000-0C00-000036000000}" name="Dose" dataDxfId="112"/>
    <tableColumn id="55" xr3:uid="{00000000-0010-0000-0C00-000037000000}" name="Route" dataDxfId="111"/>
    <tableColumn id="56" xr3:uid="{00000000-0010-0000-0C00-000038000000}" name="Frequency" dataDxfId="110"/>
    <tableColumn id="27" xr3:uid="{00000000-0010-0000-0C00-00001B000000}" name="Provider" dataDxfId="109"/>
    <tableColumn id="28" xr3:uid="{00000000-0010-0000-0C00-00001C000000}" name="Antimicrobial RX Origin" dataDxfId="108"/>
    <tableColumn id="29" xr3:uid="{00000000-0010-0000-0C00-00001D000000}" name="Antibiotic Start Date" dataDxfId="107"/>
    <tableColumn id="30" xr3:uid="{00000000-0010-0000-0C00-00001E000000}" name="Antibiotic End Date" dataDxfId="106"/>
    <tableColumn id="31" xr3:uid="{00000000-0010-0000-0C00-00001F000000}" name="Total Days of Therapy " dataDxfId="105">
      <calculatedColumnFormula>IF(OR(ISBLANK(AD3),ISBLANK(AE3)),"",(AE3-AD3)+1)</calculatedColumnFormula>
    </tableColumn>
    <tableColumn id="32" xr3:uid="{00000000-0010-0000-0C00-000020000000}" name="Meets Criteria? Y/N" dataDxfId="104"/>
    <tableColumn id="33" xr3:uid="{00000000-0010-0000-0C00-000021000000}" name="Antibiotic Reassessment (Antibiotic &quot;Time outs&quot;) Performed? Y/N" dataDxfId="103"/>
    <tableColumn id="9" xr3:uid="{00000000-0010-0000-0C00-000009000000}" name="Other Antimicrobials Prescribed Name" dataDxfId="102"/>
    <tableColumn id="8" xr3:uid="{00000000-0010-0000-0C00-000008000000}" name="Other Antimicrobials Prescribed Class" dataDxfId="101">
      <calculatedColumnFormula>IFERROR(VLOOKUP(AI3,Lookups!$W$2:$X$15,2,FALSE),"")</calculatedColumnFormula>
    </tableColumn>
    <tableColumn id="51" xr3:uid="{00000000-0010-0000-0C00-000033000000}" name="Transmission-based Precautions required? Y/N " dataDxfId="100"/>
    <tableColumn id="52" xr3:uid="{00000000-0010-0000-0C00-000034000000}" name="If Yes, Specify" dataDxfId="99"/>
    <tableColumn id="53" xr3:uid="{00000000-0010-0000-0C00-000035000000}" name="Date Symptoms Resolved " dataDxfId="9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D000000}" name="Tracking_Table13161922293235363840" displayName="Tracking_Table13161922293235363840" ref="A2:AM53" totalsRowShown="0" headerRowDxfId="97" dataDxfId="95" headerRowBorderDxfId="96">
  <autoFilter ref="A2:AM53" xr:uid="{00000000-0009-0000-0100-000027000000}"/>
  <tableColumns count="39">
    <tableColumn id="1" xr3:uid="{00000000-0010-0000-0D00-000001000000}" name="Unit Name" dataDxfId="94"/>
    <tableColumn id="2" xr3:uid="{00000000-0010-0000-0D00-000002000000}" name="Resident Name" dataDxfId="93"/>
    <tableColumn id="3" xr3:uid="{00000000-0010-0000-0D00-000003000000}" name="Room #" dataDxfId="92"/>
    <tableColumn id="4" xr3:uid="{00000000-0010-0000-0D00-000004000000}" name="Admit Date" dataDxfId="91"/>
    <tableColumn id="25" xr3:uid="{00000000-0010-0000-0D00-000019000000}" name="Existing Infection from Previous Month(s)? Y/N" dataDxfId="90"/>
    <tableColumn id="5" xr3:uid="{00000000-0010-0000-0D00-000005000000}" name="Infection type" dataDxfId="89"/>
    <tableColumn id="6" xr3:uid="{00000000-0010-0000-0D00-000006000000}" name="Body System of Infection" dataDxfId="88">
      <calculatedColumnFormula>IFERROR(VLOOKUP(F3,Lookups!$D$2:$E$18,2,FALSE),"")</calculatedColumnFormula>
    </tableColumn>
    <tableColumn id="7" xr3:uid="{00000000-0010-0000-0D00-000007000000}" name="Surveillance definition met? Y/N" dataDxfId="87"/>
    <tableColumn id="11" xr3:uid="{00000000-0010-0000-0D00-00000B000000}" name="Symptom(s)" dataDxfId="86"/>
    <tableColumn id="12" xr3:uid="{00000000-0010-0000-0D00-00000C000000}" name="Onset Date" dataDxfId="85"/>
    <tableColumn id="13" xr3:uid="{00000000-0010-0000-0D00-00000D000000}" name="Device Type(s)" dataDxfId="84"/>
    <tableColumn id="14" xr3:uid="{00000000-0010-0000-0D00-00000E000000}" name="Date(s) of Insertion" dataDxfId="83"/>
    <tableColumn id="15" xr3:uid="{00000000-0010-0000-0D00-00000F000000}" name="Date(s) of Removal " dataDxfId="82"/>
    <tableColumn id="16" xr3:uid="{00000000-0010-0000-0D00-000010000000}" name="Device Days" dataDxfId="81">
      <calculatedColumnFormula>IF(OR(ISBLANK(L3),ISBLANK(M3)),"",(M3-L3)+1)</calculatedColumnFormula>
    </tableColumn>
    <tableColumn id="17" xr3:uid="{00000000-0010-0000-0D00-000011000000}" name="Infection Risk Factors" dataDxfId="80"/>
    <tableColumn id="18" xr3:uid="{00000000-0010-0000-0D00-000012000000}" name="Diagnostic Performed? Y/N" dataDxfId="79"/>
    <tableColumn id="19" xr3:uid="{00000000-0010-0000-0D00-000013000000}" name="Test Date" dataDxfId="78"/>
    <tableColumn id="20" xr3:uid="{00000000-0010-0000-0D00-000014000000}" name="Type of Test" dataDxfId="77"/>
    <tableColumn id="21" xr3:uid="{00000000-0010-0000-0D00-000015000000}" name="Specimen Source" dataDxfId="76"/>
    <tableColumn id="22" xr3:uid="{00000000-0010-0000-0D00-000016000000}" name="Results (Organism colony counts for urine)" dataDxfId="75"/>
    <tableColumn id="23" xr3:uid="{00000000-0010-0000-0D00-000017000000}" name="Antibiotic Resistant Organism? Y/N" dataDxfId="74"/>
    <tableColumn id="24" xr3:uid="{00000000-0010-0000-0D00-000018000000}" name="If Yes, Specify:" dataDxfId="73"/>
    <tableColumn id="26" xr3:uid="{00000000-0010-0000-0D00-00001A000000}" name="Antibiotic Name" dataDxfId="72"/>
    <tableColumn id="63" xr3:uid="{00000000-0010-0000-0D00-00003F000000}" name="Class" dataDxfId="71">
      <calculatedColumnFormula>IFERROR(VLOOKUP(W3,Lookups!$G$2:$H$77,2,FALSE),"")</calculatedColumnFormula>
    </tableColumn>
    <tableColumn id="54" xr3:uid="{00000000-0010-0000-0D00-000036000000}" name="Dose" dataDxfId="70"/>
    <tableColumn id="55" xr3:uid="{00000000-0010-0000-0D00-000037000000}" name="Route" dataDxfId="69"/>
    <tableColumn id="56" xr3:uid="{00000000-0010-0000-0D00-000038000000}" name="Frequency" dataDxfId="68"/>
    <tableColumn id="27" xr3:uid="{00000000-0010-0000-0D00-00001B000000}" name="Provider" dataDxfId="67"/>
    <tableColumn id="28" xr3:uid="{00000000-0010-0000-0D00-00001C000000}" name="Antimicrobial RX Origin" dataDxfId="66"/>
    <tableColumn id="29" xr3:uid="{00000000-0010-0000-0D00-00001D000000}" name="Antibiotic Start Date" dataDxfId="65"/>
    <tableColumn id="30" xr3:uid="{00000000-0010-0000-0D00-00001E000000}" name="Antibiotic End Date" dataDxfId="64"/>
    <tableColumn id="31" xr3:uid="{00000000-0010-0000-0D00-00001F000000}" name="Total Days of Therapy " dataDxfId="63">
      <calculatedColumnFormula>IF(OR(ISBLANK(AD3),ISBLANK(AE3)),"",(AE3-AD3)+1)</calculatedColumnFormula>
    </tableColumn>
    <tableColumn id="32" xr3:uid="{00000000-0010-0000-0D00-000020000000}" name="Meets Criteria? Y/N" dataDxfId="62"/>
    <tableColumn id="33" xr3:uid="{00000000-0010-0000-0D00-000021000000}" name="Antibiotic Reassessment (Antibiotic &quot;Time outs&quot;) Performed? Y/N" dataDxfId="61"/>
    <tableColumn id="9" xr3:uid="{00000000-0010-0000-0D00-000009000000}" name="Other Antimicrobials Prescribed Name" dataDxfId="60"/>
    <tableColumn id="8" xr3:uid="{00000000-0010-0000-0D00-000008000000}" name="Other Antimicrobials Prescribed Class" dataDxfId="59">
      <calculatedColumnFormula>IFERROR(VLOOKUP(AI3,Lookups!$W$2:$X$15,2,FALSE),"")</calculatedColumnFormula>
    </tableColumn>
    <tableColumn id="51" xr3:uid="{00000000-0010-0000-0D00-000033000000}" name="Transmission-based Precautions required? Y/N " dataDxfId="58"/>
    <tableColumn id="52" xr3:uid="{00000000-0010-0000-0D00-000034000000}" name="If Yes, Specify" dataDxfId="57"/>
    <tableColumn id="53" xr3:uid="{00000000-0010-0000-0D00-000035000000}" name="Date Symptoms Resolved 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Tracking_Table1316192229323536384041" displayName="Tracking_Table1316192229323536384041" ref="A2:AM53" totalsRowShown="0" headerRowDxfId="55" dataDxfId="53" headerRowBorderDxfId="54">
  <autoFilter ref="A2:AM53" xr:uid="{00000000-0009-0000-0100-000028000000}"/>
  <tableColumns count="39">
    <tableColumn id="1" xr3:uid="{00000000-0010-0000-0E00-000001000000}" name="Unit Name" dataDxfId="52"/>
    <tableColumn id="2" xr3:uid="{00000000-0010-0000-0E00-000002000000}" name="Resident Name" dataDxfId="51"/>
    <tableColumn id="3" xr3:uid="{00000000-0010-0000-0E00-000003000000}" name="Room #" dataDxfId="50"/>
    <tableColumn id="4" xr3:uid="{00000000-0010-0000-0E00-000004000000}" name="Admit Date" dataDxfId="49"/>
    <tableColumn id="25" xr3:uid="{00000000-0010-0000-0E00-000019000000}" name="Existing Infection from Previous Month(s)? Y/N" dataDxfId="48"/>
    <tableColumn id="5" xr3:uid="{00000000-0010-0000-0E00-000005000000}" name="Infection type" dataDxfId="47"/>
    <tableColumn id="6" xr3:uid="{00000000-0010-0000-0E00-000006000000}" name="Body System of Infection" dataDxfId="46">
      <calculatedColumnFormula>IFERROR(VLOOKUP(F3,Lookups!$D$2:$E$18,2,FALSE),"")</calculatedColumnFormula>
    </tableColumn>
    <tableColumn id="7" xr3:uid="{00000000-0010-0000-0E00-000007000000}" name="Surveillance definition met? Y/N" dataDxfId="45"/>
    <tableColumn id="11" xr3:uid="{00000000-0010-0000-0E00-00000B000000}" name="Symptom(s)" dataDxfId="44"/>
    <tableColumn id="12" xr3:uid="{00000000-0010-0000-0E00-00000C000000}" name="Onset Date" dataDxfId="43"/>
    <tableColumn id="13" xr3:uid="{00000000-0010-0000-0E00-00000D000000}" name="Device Type(s)" dataDxfId="42"/>
    <tableColumn id="14" xr3:uid="{00000000-0010-0000-0E00-00000E000000}" name="Date(s) of Insertion" dataDxfId="41"/>
    <tableColumn id="15" xr3:uid="{00000000-0010-0000-0E00-00000F000000}" name="Date(s) of Removal " dataDxfId="40"/>
    <tableColumn id="16" xr3:uid="{00000000-0010-0000-0E00-000010000000}" name="Device Days" dataDxfId="39">
      <calculatedColumnFormula>IF(OR(ISBLANK(L3),ISBLANK(M3)),"",(M3-L3)+1)</calculatedColumnFormula>
    </tableColumn>
    <tableColumn id="17" xr3:uid="{00000000-0010-0000-0E00-000011000000}" name="Infection Risk Factors" dataDxfId="38"/>
    <tableColumn id="18" xr3:uid="{00000000-0010-0000-0E00-000012000000}" name="Diagnostic Performed? Y/N" dataDxfId="37"/>
    <tableColumn id="19" xr3:uid="{00000000-0010-0000-0E00-000013000000}" name="Test Date" dataDxfId="36"/>
    <tableColumn id="20" xr3:uid="{00000000-0010-0000-0E00-000014000000}" name="Type of Test" dataDxfId="35"/>
    <tableColumn id="21" xr3:uid="{00000000-0010-0000-0E00-000015000000}" name="Specimen Source" dataDxfId="34"/>
    <tableColumn id="22" xr3:uid="{00000000-0010-0000-0E00-000016000000}" name="Results (Organism colony counts for urine)" dataDxfId="33"/>
    <tableColumn id="23" xr3:uid="{00000000-0010-0000-0E00-000017000000}" name="Antibiotic Resistant Organism? Y/N" dataDxfId="32"/>
    <tableColumn id="24" xr3:uid="{00000000-0010-0000-0E00-000018000000}" name="If Yes, Specify:" dataDxfId="31"/>
    <tableColumn id="26" xr3:uid="{00000000-0010-0000-0E00-00001A000000}" name="Antibiotic Name" dataDxfId="30"/>
    <tableColumn id="63" xr3:uid="{00000000-0010-0000-0E00-00003F000000}" name="Class" dataDxfId="29">
      <calculatedColumnFormula>IFERROR(VLOOKUP(W3,Lookups!$G$2:$H$77,2,FALSE),"")</calculatedColumnFormula>
    </tableColumn>
    <tableColumn id="54" xr3:uid="{00000000-0010-0000-0E00-000036000000}" name="Dose" dataDxfId="28"/>
    <tableColumn id="55" xr3:uid="{00000000-0010-0000-0E00-000037000000}" name="Route" dataDxfId="27"/>
    <tableColumn id="56" xr3:uid="{00000000-0010-0000-0E00-000038000000}" name="Frequency" dataDxfId="26"/>
    <tableColumn id="27" xr3:uid="{00000000-0010-0000-0E00-00001B000000}" name="Provider" dataDxfId="25"/>
    <tableColumn id="28" xr3:uid="{00000000-0010-0000-0E00-00001C000000}" name="Antimicrobial RX Origin" dataDxfId="24"/>
    <tableColumn id="29" xr3:uid="{00000000-0010-0000-0E00-00001D000000}" name="Antibiotic Start Date" dataDxfId="23"/>
    <tableColumn id="30" xr3:uid="{00000000-0010-0000-0E00-00001E000000}" name="Antibiotic End Date" dataDxfId="22"/>
    <tableColumn id="31" xr3:uid="{00000000-0010-0000-0E00-00001F000000}" name="Total Days of Therapy " dataDxfId="21">
      <calculatedColumnFormula>IF(OR(ISBLANK(AD3),ISBLANK(AE3)),"",(AE3-AD3)+1)</calculatedColumnFormula>
    </tableColumn>
    <tableColumn id="32" xr3:uid="{00000000-0010-0000-0E00-000020000000}" name="Meets Criteria? Y/N" dataDxfId="20"/>
    <tableColumn id="33" xr3:uid="{00000000-0010-0000-0E00-000021000000}" name="Antibiotic Reassessment (Antibiotic &quot;Time outs&quot;) Performed? Y/N" dataDxfId="19"/>
    <tableColumn id="9" xr3:uid="{00000000-0010-0000-0E00-000009000000}" name="Other Antimicrobials Prescribed Name" dataDxfId="18"/>
    <tableColumn id="8" xr3:uid="{00000000-0010-0000-0E00-000008000000}" name="Other Antimicrobials Prescribed Class" dataDxfId="17">
      <calculatedColumnFormula>IFERROR(VLOOKUP(AI3,Lookups!$W$2:$X$15,2,FALSE),"")</calculatedColumnFormula>
    </tableColumn>
    <tableColumn id="51" xr3:uid="{00000000-0010-0000-0E00-000033000000}" name="Transmission-based Precautions required? Y/N " dataDxfId="16"/>
    <tableColumn id="52" xr3:uid="{00000000-0010-0000-0E00-000034000000}" name="If Yes, Specify" dataDxfId="15"/>
    <tableColumn id="53" xr3:uid="{00000000-0010-0000-0E00-000035000000}" name="Date Symptoms Resolved " dataDxfId="1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F000000}" name="Device_Type" displayName="Device_Type" ref="A1:A7" totalsRowShown="0" headerRowDxfId="13">
  <autoFilter ref="A1:A7" xr:uid="{00000000-0009-0000-0100-000002000000}"/>
  <tableColumns count="1">
    <tableColumn id="1" xr3:uid="{00000000-0010-0000-0F00-000001000000}" name="Device_Type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ABX_Name_Class" displayName="ABX_Name_Class" ref="G1:H77" totalsRowShown="0" headerRowDxfId="12">
  <autoFilter ref="G1:H77" xr:uid="{00000000-0009-0000-0100-000004000000}"/>
  <tableColumns count="2">
    <tableColumn id="1" xr3:uid="{00000000-0010-0000-1000-000001000000}" name="ABX Name" dataDxfId="11"/>
    <tableColumn id="2" xr3:uid="{00000000-0010-0000-1000-000002000000}" name="ABX Class" dataDxfId="1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Infection_Type" displayName="Infection_Type" ref="D1:E18" totalsRowShown="0">
  <autoFilter ref="D1:E18" xr:uid="{00000000-0009-0000-0100-000006000000}"/>
  <tableColumns count="2">
    <tableColumn id="1" xr3:uid="{00000000-0010-0000-1100-000001000000}" name="Infection Type" dataDxfId="9"/>
    <tableColumn id="2" xr3:uid="{00000000-0010-0000-1100-000002000000}" name="Body System of Infection" dataDxfId="8"/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2000000}" name="ABX_Route" displayName="ABX_Route" ref="K1:K7" totalsRowShown="0" headerRowDxfId="7">
  <autoFilter ref="K1:K7" xr:uid="{00000000-0009-0000-0100-000007000000}"/>
  <tableColumns count="1">
    <tableColumn id="1" xr3:uid="{00000000-0010-0000-1200-000001000000}" name="ABX Route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DOT" displayName="DOT" ref="A6:E18" totalsRowShown="0" headerRowDxfId="538" headerRowBorderDxfId="537" tableBorderDxfId="536" totalsRowBorderDxfId="535">
  <tableColumns count="5">
    <tableColumn id="1" xr3:uid="{00000000-0010-0000-0100-000001000000}" name="Month" dataDxfId="534"/>
    <tableColumn id="2" xr3:uid="{00000000-0010-0000-0100-000002000000}" name="Total Days of Therapy per Month" dataDxfId="533"/>
    <tableColumn id="3" xr3:uid="{00000000-0010-0000-0100-000003000000}" name="Rate per 1,000 Resident Days" dataDxfId="532">
      <calculatedColumnFormula>IFERROR(SUM(B7)/SUM(Calculations!B2)*1000,0)</calculatedColumnFormula>
    </tableColumn>
    <tableColumn id="5" xr3:uid="{00000000-0010-0000-0100-000005000000}" name="Total Days of Therapy per Month (Prophylaxis)" dataDxfId="531">
      <calculatedColumnFormula>SUMIF(January!F2:F549,"Prophylaxis",January!AF2:AF549)</calculatedColumnFormula>
    </tableColumn>
    <tableColumn id="6" xr3:uid="{00000000-0010-0000-0100-000006000000}" name="Rate per 1,000 Resident Days (Prophylaxis)" dataDxfId="530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3000000}" name="ABX_Origination" displayName="ABX_Origination" ref="N1:N6" totalsRowShown="0">
  <autoFilter ref="N1:N6" xr:uid="{00000000-0009-0000-0100-000029000000}"/>
  <tableColumns count="1">
    <tableColumn id="1" xr3:uid="{00000000-0010-0000-1300-000001000000}" name="ABX Origination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4000000}" name="Specimen_Source" displayName="Specimen_Source" ref="Q1:Q10" totalsRowShown="0">
  <autoFilter ref="Q1:Q10" xr:uid="{00000000-0009-0000-0100-00002A000000}"/>
  <tableColumns count="1">
    <tableColumn id="1" xr3:uid="{00000000-0010-0000-1400-000001000000}" name="Specimen Source"/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5000000}" name="Precautions" displayName="Precautions" ref="T1:T5" totalsRowShown="0">
  <autoFilter ref="T1:T5" xr:uid="{00000000-0009-0000-0100-000009000000}"/>
  <tableColumns count="1">
    <tableColumn id="1" xr3:uid="{00000000-0010-0000-1500-000001000000}" name="Transmission-Based Precautions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6000000}" name="Antimicrobials" displayName="Antimicrobials" ref="W1:X15" totalsRowShown="0" headerRowDxfId="6" dataDxfId="4" headerRowBorderDxfId="5" tableBorderDxfId="3" totalsRowBorderDxfId="2">
  <autoFilter ref="W1:X15" xr:uid="{00000000-0009-0000-0100-00000A000000}"/>
  <sortState xmlns:xlrd2="http://schemas.microsoft.com/office/spreadsheetml/2017/richdata2" ref="W2:X14">
    <sortCondition ref="W2"/>
  </sortState>
  <tableColumns count="2">
    <tableColumn id="1" xr3:uid="{00000000-0010-0000-1600-000001000000}" name="Antimicrobial Drug" dataDxfId="1"/>
    <tableColumn id="2" xr3:uid="{00000000-0010-0000-1600-000002000000}" name="Antimicrobial Class" dataDxfId="0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Location_Percentage" displayName="Location_Percentage" ref="AI1:AU6" totalsRowShown="0">
  <autoFilter ref="AI1:AU6" xr:uid="{00000000-0009-0000-0100-000008000000}"/>
  <tableColumns count="13">
    <tableColumn id="1" xr3:uid="{00000000-0010-0000-0200-000001000000}" name="Location"/>
    <tableColumn id="2" xr3:uid="{00000000-0010-0000-0200-000002000000}" name="January" dataDxfId="529"/>
    <tableColumn id="3" xr3:uid="{00000000-0010-0000-0200-000003000000}" name="February" dataDxfId="528"/>
    <tableColumn id="4" xr3:uid="{00000000-0010-0000-0200-000004000000}" name="March" dataDxfId="527"/>
    <tableColumn id="5" xr3:uid="{00000000-0010-0000-0200-000005000000}" name="April" dataDxfId="526"/>
    <tableColumn id="6" xr3:uid="{00000000-0010-0000-0200-000006000000}" name="May" dataDxfId="525"/>
    <tableColumn id="7" xr3:uid="{00000000-0010-0000-0200-000007000000}" name="June" dataDxfId="524"/>
    <tableColumn id="8" xr3:uid="{00000000-0010-0000-0200-000008000000}" name="July" dataDxfId="523"/>
    <tableColumn id="9" xr3:uid="{00000000-0010-0000-0200-000009000000}" name="August" dataDxfId="522"/>
    <tableColumn id="10" xr3:uid="{00000000-0010-0000-0200-00000A000000}" name="September" dataDxfId="521"/>
    <tableColumn id="11" xr3:uid="{00000000-0010-0000-0200-00000B000000}" name="October" dataDxfId="520"/>
    <tableColumn id="12" xr3:uid="{00000000-0010-0000-0200-00000C000000}" name="November" dataDxfId="519"/>
    <tableColumn id="13" xr3:uid="{00000000-0010-0000-0200-00000D000000}" name="December" dataDxfId="5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_Jan" displayName="Table_Jan" ref="A2:AM53" totalsRowShown="0" headerRowDxfId="517" dataDxfId="515" headerRowBorderDxfId="516">
  <autoFilter ref="A2:AM53" xr:uid="{00000000-0009-0000-0100-000001000000}"/>
  <tableColumns count="39">
    <tableColumn id="1" xr3:uid="{00000000-0010-0000-0300-000001000000}" name="Unit Name" dataDxfId="514"/>
    <tableColumn id="2" xr3:uid="{00000000-0010-0000-0300-000002000000}" name="Resident Name" dataDxfId="513"/>
    <tableColumn id="3" xr3:uid="{00000000-0010-0000-0300-000003000000}" name="Room #" dataDxfId="512"/>
    <tableColumn id="4" xr3:uid="{00000000-0010-0000-0300-000004000000}" name="Admit Date" dataDxfId="511"/>
    <tableColumn id="34" xr3:uid="{00000000-0010-0000-0300-000022000000}" name="Existing Infection from Previous Month(s)? Y/N" dataDxfId="510"/>
    <tableColumn id="5" xr3:uid="{00000000-0010-0000-0300-000005000000}" name="Infection type" dataDxfId="509"/>
    <tableColumn id="6" xr3:uid="{00000000-0010-0000-0300-000006000000}" name="Body System of Infection" dataDxfId="508">
      <calculatedColumnFormula>IFERROR(VLOOKUP(F3,Lookups!$D$2:$E$18,2,FALSE),"")</calculatedColumnFormula>
    </tableColumn>
    <tableColumn id="7" xr3:uid="{00000000-0010-0000-0300-000007000000}" name="Surveillance definition met? Y/N" dataDxfId="507"/>
    <tableColumn id="11" xr3:uid="{00000000-0010-0000-0300-00000B000000}" name="Symptom(s)" dataDxfId="506"/>
    <tableColumn id="12" xr3:uid="{00000000-0010-0000-0300-00000C000000}" name="Onset Date" dataDxfId="505"/>
    <tableColumn id="13" xr3:uid="{00000000-0010-0000-0300-00000D000000}" name="Device Type(s)" dataDxfId="504"/>
    <tableColumn id="14" xr3:uid="{00000000-0010-0000-0300-00000E000000}" name="Date(s) of Insertion" dataDxfId="503"/>
    <tableColumn id="15" xr3:uid="{00000000-0010-0000-0300-00000F000000}" name="Date(s) of Removal " dataDxfId="502"/>
    <tableColumn id="16" xr3:uid="{00000000-0010-0000-0300-000010000000}" name="Device Days" dataDxfId="501">
      <calculatedColumnFormula>IF(OR(ISBLANK(L3),ISBLANK(M3)),"",(M3-L3)+1)</calculatedColumnFormula>
    </tableColumn>
    <tableColumn id="17" xr3:uid="{00000000-0010-0000-0300-000011000000}" name="Infection Risk Factors" dataDxfId="500"/>
    <tableColumn id="18" xr3:uid="{00000000-0010-0000-0300-000012000000}" name="Diagnostic Performed? Y/N" dataDxfId="499"/>
    <tableColumn id="19" xr3:uid="{00000000-0010-0000-0300-000013000000}" name="Test Date" dataDxfId="498"/>
    <tableColumn id="20" xr3:uid="{00000000-0010-0000-0300-000014000000}" name="Type of Test" dataDxfId="497"/>
    <tableColumn id="21" xr3:uid="{00000000-0010-0000-0300-000015000000}" name="Specimen Source" dataDxfId="496"/>
    <tableColumn id="22" xr3:uid="{00000000-0010-0000-0300-000016000000}" name="Results (Organism colony counts for urine)" dataDxfId="495"/>
    <tableColumn id="23" xr3:uid="{00000000-0010-0000-0300-000017000000}" name="Antibiotic Resistant Organism? Y/N" dataDxfId="494"/>
    <tableColumn id="24" xr3:uid="{00000000-0010-0000-0300-000018000000}" name="If Yes, Specify:" dataDxfId="493"/>
    <tableColumn id="26" xr3:uid="{00000000-0010-0000-0300-00001A000000}" name="Antibiotic Name" dataDxfId="492"/>
    <tableColumn id="63" xr3:uid="{00000000-0010-0000-0300-00003F000000}" name="Class" dataDxfId="491">
      <calculatedColumnFormula>IFERROR(VLOOKUP(W3,Lookups!$G$2:$H$77,2,FALSE),"")</calculatedColumnFormula>
    </tableColumn>
    <tableColumn id="54" xr3:uid="{00000000-0010-0000-0300-000036000000}" name="Dose" dataDxfId="490"/>
    <tableColumn id="55" xr3:uid="{00000000-0010-0000-0300-000037000000}" name="Route" dataDxfId="489"/>
    <tableColumn id="56" xr3:uid="{00000000-0010-0000-0300-000038000000}" name="Frequency" dataDxfId="488"/>
    <tableColumn id="27" xr3:uid="{00000000-0010-0000-0300-00001B000000}" name="Provider" dataDxfId="487"/>
    <tableColumn id="28" xr3:uid="{00000000-0010-0000-0300-00001C000000}" name="Antimicrobial Rx Origin" dataDxfId="486"/>
    <tableColumn id="29" xr3:uid="{00000000-0010-0000-0300-00001D000000}" name="Antibiotic Start Date" dataDxfId="485"/>
    <tableColumn id="30" xr3:uid="{00000000-0010-0000-0300-00001E000000}" name="Antibiotic End Date" dataDxfId="484"/>
    <tableColumn id="31" xr3:uid="{00000000-0010-0000-0300-00001F000000}" name="Total Days of Therapy " dataDxfId="483">
      <calculatedColumnFormula>IF(OR(ISBLANK(AD3),ISBLANK(AE3)),"",(AE3-AD3)+1)</calculatedColumnFormula>
    </tableColumn>
    <tableColumn id="32" xr3:uid="{00000000-0010-0000-0300-000020000000}" name="Meets Criteria? Y/N" dataDxfId="482"/>
    <tableColumn id="33" xr3:uid="{00000000-0010-0000-0300-000021000000}" name="Antibiotic Reassessment (Antibiotic &quot;Time outs&quot;) Performed? Y/N" dataDxfId="481"/>
    <tableColumn id="10" xr3:uid="{00000000-0010-0000-0300-00000A000000}" name="Other Antimicrobials Prescribed Name" dataDxfId="480"/>
    <tableColumn id="25" xr3:uid="{00000000-0010-0000-0300-000019000000}" name="Other Antimicrobials Prescribed Class" dataDxfId="479">
      <calculatedColumnFormula>IFERROR(VLOOKUP(AI3,Lookups!$W$2:$X$15,2,FALSE),"")</calculatedColumnFormula>
    </tableColumn>
    <tableColumn id="51" xr3:uid="{00000000-0010-0000-0300-000033000000}" name="Transmission-based Precautions required? Y/N " dataDxfId="478"/>
    <tableColumn id="52" xr3:uid="{00000000-0010-0000-0300-000034000000}" name="If Yes, Specify" dataDxfId="477"/>
    <tableColumn id="53" xr3:uid="{00000000-0010-0000-0300-000035000000}" name="Date Symptoms Resolved " dataDxfId="47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racking_Table13" displayName="Tracking_Table13" ref="A2:AM53" totalsRowShown="0" headerRowDxfId="475" dataDxfId="473" headerRowBorderDxfId="474">
  <autoFilter ref="A2:AM53" xr:uid="{00000000-0009-0000-0100-00000C000000}"/>
  <tableColumns count="39">
    <tableColumn id="1" xr3:uid="{00000000-0010-0000-0400-000001000000}" name="Unit Name" dataDxfId="472"/>
    <tableColumn id="2" xr3:uid="{00000000-0010-0000-0400-000002000000}" name="Resident Name" dataDxfId="471"/>
    <tableColumn id="3" xr3:uid="{00000000-0010-0000-0400-000003000000}" name="Room #" dataDxfId="470"/>
    <tableColumn id="4" xr3:uid="{00000000-0010-0000-0400-000004000000}" name="Admit Date" dataDxfId="469"/>
    <tableColumn id="34" xr3:uid="{00000000-0010-0000-0400-000022000000}" name="Existing Infection from Previous Month(s)? Y/N" dataDxfId="468"/>
    <tableColumn id="5" xr3:uid="{00000000-0010-0000-0400-000005000000}" name="Infection type" dataDxfId="467"/>
    <tableColumn id="6" xr3:uid="{00000000-0010-0000-0400-000006000000}" name="Body System of Infection" dataDxfId="466">
      <calculatedColumnFormula>IFERROR(VLOOKUP(F3,Lookups!$D$2:$E$18,2,FALSE),"")</calculatedColumnFormula>
    </tableColumn>
    <tableColumn id="7" xr3:uid="{00000000-0010-0000-0400-000007000000}" name="Surveillance definition met? Y/N" dataDxfId="465"/>
    <tableColumn id="11" xr3:uid="{00000000-0010-0000-0400-00000B000000}" name="Symptom(s)" dataDxfId="464"/>
    <tableColumn id="12" xr3:uid="{00000000-0010-0000-0400-00000C000000}" name="Onset Date" dataDxfId="463"/>
    <tableColumn id="13" xr3:uid="{00000000-0010-0000-0400-00000D000000}" name="Device Type(s)" dataDxfId="462"/>
    <tableColumn id="14" xr3:uid="{00000000-0010-0000-0400-00000E000000}" name="Date(s) of Insertion" dataDxfId="461"/>
    <tableColumn id="15" xr3:uid="{00000000-0010-0000-0400-00000F000000}" name="Date(s) of Removal " dataDxfId="460"/>
    <tableColumn id="16" xr3:uid="{00000000-0010-0000-0400-000010000000}" name="Device Days" dataDxfId="459">
      <calculatedColumnFormula>IF(OR(ISBLANK(L3),ISBLANK(M3)),"",(M3-L3)+1)</calculatedColumnFormula>
    </tableColumn>
    <tableColumn id="17" xr3:uid="{00000000-0010-0000-0400-000011000000}" name="Infection Risk Factors" dataDxfId="458"/>
    <tableColumn id="18" xr3:uid="{00000000-0010-0000-0400-000012000000}" name="Diagnostic Performed? Y/N" dataDxfId="457"/>
    <tableColumn id="19" xr3:uid="{00000000-0010-0000-0400-000013000000}" name="Test Date" dataDxfId="456"/>
    <tableColumn id="20" xr3:uid="{00000000-0010-0000-0400-000014000000}" name="Type of Test" dataDxfId="455"/>
    <tableColumn id="21" xr3:uid="{00000000-0010-0000-0400-000015000000}" name="Specimen Source" dataDxfId="454"/>
    <tableColumn id="22" xr3:uid="{00000000-0010-0000-0400-000016000000}" name="Results (Organism colony counts for urine)" dataDxfId="453"/>
    <tableColumn id="23" xr3:uid="{00000000-0010-0000-0400-000017000000}" name="Antibiotic Resistant Organism? Y/N" dataDxfId="452"/>
    <tableColumn id="24" xr3:uid="{00000000-0010-0000-0400-000018000000}" name="If Yes, Specify:" dataDxfId="451"/>
    <tableColumn id="26" xr3:uid="{00000000-0010-0000-0400-00001A000000}" name="Antibiotic Name" dataDxfId="450"/>
    <tableColumn id="63" xr3:uid="{00000000-0010-0000-0400-00003F000000}" name="Class" dataDxfId="449">
      <calculatedColumnFormula>IFERROR(VLOOKUP(W3,Lookups!$G$2:$H$77,2,FALSE),"")</calculatedColumnFormula>
    </tableColumn>
    <tableColumn id="54" xr3:uid="{00000000-0010-0000-0400-000036000000}" name="Dose" dataDxfId="448"/>
    <tableColumn id="55" xr3:uid="{00000000-0010-0000-0400-000037000000}" name="Route" dataDxfId="447"/>
    <tableColumn id="56" xr3:uid="{00000000-0010-0000-0400-000038000000}" name="Frequency" dataDxfId="446"/>
    <tableColumn id="27" xr3:uid="{00000000-0010-0000-0400-00001B000000}" name="Provider" dataDxfId="445"/>
    <tableColumn id="28" xr3:uid="{00000000-0010-0000-0400-00001C000000}" name="Antimicrobial RX Origin" dataDxfId="444"/>
    <tableColumn id="29" xr3:uid="{00000000-0010-0000-0400-00001D000000}" name="Antibiotic Start Date" dataDxfId="443"/>
    <tableColumn id="30" xr3:uid="{00000000-0010-0000-0400-00001E000000}" name="Antibiotic End Date" dataDxfId="442"/>
    <tableColumn id="31" xr3:uid="{00000000-0010-0000-0400-00001F000000}" name="Total Days of Therapy " dataDxfId="441">
      <calculatedColumnFormula>IF(OR(ISBLANK(AD3),ISBLANK(AE3)),"",(AE3-AD3)+1)</calculatedColumnFormula>
    </tableColumn>
    <tableColumn id="32" xr3:uid="{00000000-0010-0000-0400-000020000000}" name="Meets Criteria? Y/N" dataDxfId="440"/>
    <tableColumn id="33" xr3:uid="{00000000-0010-0000-0400-000021000000}" name="Antibiotic Reassessment (Antibiotic &quot;Time outs&quot;) Performed? Y/N" dataDxfId="439"/>
    <tableColumn id="8" xr3:uid="{00000000-0010-0000-0400-000008000000}" name="Other Antimicrobials Prescribed Name" dataDxfId="438"/>
    <tableColumn id="9" xr3:uid="{00000000-0010-0000-0400-000009000000}" name="Other Antimicrobials Prescribed Class" dataDxfId="437">
      <calculatedColumnFormula>IFERROR(VLOOKUP(AI3,Lookups!$W$2:$X$15,2,FALSE),"")</calculatedColumnFormula>
    </tableColumn>
    <tableColumn id="51" xr3:uid="{00000000-0010-0000-0400-000033000000}" name="Transmission-based Precautions required? Y/N " dataDxfId="436"/>
    <tableColumn id="52" xr3:uid="{00000000-0010-0000-0400-000034000000}" name="If Yes, Specify" dataDxfId="435"/>
    <tableColumn id="53" xr3:uid="{00000000-0010-0000-0400-000035000000}" name="Date Symptoms Resolved " dataDxfId="4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racking_Table1316" displayName="Tracking_Table1316" ref="A2:AM53" totalsRowShown="0" headerRowDxfId="433" dataDxfId="431" headerRowBorderDxfId="432">
  <autoFilter ref="A2:AM53" xr:uid="{00000000-0009-0000-0100-00000F000000}"/>
  <tableColumns count="39">
    <tableColumn id="1" xr3:uid="{00000000-0010-0000-0500-000001000000}" name="Unit Name" dataDxfId="430"/>
    <tableColumn id="2" xr3:uid="{00000000-0010-0000-0500-000002000000}" name="Resident Name" dataDxfId="429"/>
    <tableColumn id="3" xr3:uid="{00000000-0010-0000-0500-000003000000}" name="Room #" dataDxfId="428"/>
    <tableColumn id="4" xr3:uid="{00000000-0010-0000-0500-000004000000}" name="Admit Date" dataDxfId="427"/>
    <tableColumn id="25" xr3:uid="{00000000-0010-0000-0500-000019000000}" name="Existing Infection from Previous Month(s)? Y/N" dataDxfId="426"/>
    <tableColumn id="5" xr3:uid="{00000000-0010-0000-0500-000005000000}" name="Infection type" dataDxfId="425"/>
    <tableColumn id="6" xr3:uid="{00000000-0010-0000-0500-000006000000}" name="Body System of Infection" dataDxfId="424">
      <calculatedColumnFormula>IFERROR(VLOOKUP(F3,Lookups!$D$2:$E$18,2,FALSE),"")</calculatedColumnFormula>
    </tableColumn>
    <tableColumn id="7" xr3:uid="{00000000-0010-0000-0500-000007000000}" name="Surveillance definition met? Y/N" dataDxfId="423"/>
    <tableColumn id="11" xr3:uid="{00000000-0010-0000-0500-00000B000000}" name="Symptom(s)" dataDxfId="422"/>
    <tableColumn id="12" xr3:uid="{00000000-0010-0000-0500-00000C000000}" name="Onset Date" dataDxfId="421"/>
    <tableColumn id="13" xr3:uid="{00000000-0010-0000-0500-00000D000000}" name="Device Type(s)" dataDxfId="420"/>
    <tableColumn id="14" xr3:uid="{00000000-0010-0000-0500-00000E000000}" name="Date(s) of Insertion" dataDxfId="419"/>
    <tableColumn id="15" xr3:uid="{00000000-0010-0000-0500-00000F000000}" name="Date(s) of Removal " dataDxfId="418"/>
    <tableColumn id="16" xr3:uid="{00000000-0010-0000-0500-000010000000}" name="Device Days" dataDxfId="417">
      <calculatedColumnFormula>IF(OR(ISBLANK(L3),ISBLANK(M3)),"",(M3-L3)+1)</calculatedColumnFormula>
    </tableColumn>
    <tableColumn id="17" xr3:uid="{00000000-0010-0000-0500-000011000000}" name="Infection Risk Factors" dataDxfId="416"/>
    <tableColumn id="18" xr3:uid="{00000000-0010-0000-0500-000012000000}" name="Diagnostic Performed? Y/N" dataDxfId="415"/>
    <tableColumn id="19" xr3:uid="{00000000-0010-0000-0500-000013000000}" name="Test Date" dataDxfId="414"/>
    <tableColumn id="20" xr3:uid="{00000000-0010-0000-0500-000014000000}" name="Type of Test" dataDxfId="413"/>
    <tableColumn id="21" xr3:uid="{00000000-0010-0000-0500-000015000000}" name="Specimen Source" dataDxfId="412"/>
    <tableColumn id="22" xr3:uid="{00000000-0010-0000-0500-000016000000}" name="Results (Organism colony counts for urine)" dataDxfId="411"/>
    <tableColumn id="23" xr3:uid="{00000000-0010-0000-0500-000017000000}" name="Antibiotic Resistant Organism? Y/N" dataDxfId="410"/>
    <tableColumn id="24" xr3:uid="{00000000-0010-0000-0500-000018000000}" name="If Yes, Specify:" dataDxfId="409"/>
    <tableColumn id="26" xr3:uid="{00000000-0010-0000-0500-00001A000000}" name="Antibiotic Name" dataDxfId="408"/>
    <tableColumn id="63" xr3:uid="{00000000-0010-0000-0500-00003F000000}" name="Class" dataDxfId="407">
      <calculatedColumnFormula>IFERROR(VLOOKUP(W3,Lookups!$G$2:$H$77,2,FALSE),"")</calculatedColumnFormula>
    </tableColumn>
    <tableColumn id="54" xr3:uid="{00000000-0010-0000-0500-000036000000}" name="Dose" dataDxfId="406"/>
    <tableColumn id="55" xr3:uid="{00000000-0010-0000-0500-000037000000}" name="Route" dataDxfId="405"/>
    <tableColumn id="56" xr3:uid="{00000000-0010-0000-0500-000038000000}" name="Frequency" dataDxfId="404"/>
    <tableColumn id="27" xr3:uid="{00000000-0010-0000-0500-00001B000000}" name="Provider" dataDxfId="403"/>
    <tableColumn id="28" xr3:uid="{00000000-0010-0000-0500-00001C000000}" name="Antimicrobial RX Origin" dataDxfId="402"/>
    <tableColumn id="29" xr3:uid="{00000000-0010-0000-0500-00001D000000}" name="Antibiotic Start Date" dataDxfId="401"/>
    <tableColumn id="30" xr3:uid="{00000000-0010-0000-0500-00001E000000}" name="Antibiotic End Date" dataDxfId="400"/>
    <tableColumn id="31" xr3:uid="{00000000-0010-0000-0500-00001F000000}" name="Total Days of Therapy " dataDxfId="399">
      <calculatedColumnFormula>IF(OR(ISBLANK(AD3),ISBLANK(AE3)),"",(AE3-AD3)+1)</calculatedColumnFormula>
    </tableColumn>
    <tableColumn id="32" xr3:uid="{00000000-0010-0000-0500-000020000000}" name="Meets Criteria? Y/N" dataDxfId="398"/>
    <tableColumn id="33" xr3:uid="{00000000-0010-0000-0500-000021000000}" name="Antibiotic Reassessment (Antibiotic &quot;Time outs&quot;) Performed? Y/N" dataDxfId="397"/>
    <tableColumn id="8" xr3:uid="{00000000-0010-0000-0500-000008000000}" name="Other Antimicrobials Prescribed Name" dataDxfId="396"/>
    <tableColumn id="9" xr3:uid="{00000000-0010-0000-0500-000009000000}" name="Other Antimicrobials Prescribed Class" dataDxfId="395">
      <calculatedColumnFormula>IFERROR(VLOOKUP(AI3,Lookups!$W$2:$X$15,2,FALSE),"")</calculatedColumnFormula>
    </tableColumn>
    <tableColumn id="51" xr3:uid="{00000000-0010-0000-0500-000033000000}" name="Transmission-based Precautions required? Y/N " dataDxfId="394"/>
    <tableColumn id="52" xr3:uid="{00000000-0010-0000-0500-000034000000}" name="If Yes, Specify" dataDxfId="393"/>
    <tableColumn id="53" xr3:uid="{00000000-0010-0000-0500-000035000000}" name="Date Symptoms Resolved " dataDxfId="3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racking_Table131619" displayName="Tracking_Table131619" ref="A2:AM53" totalsRowShown="0" headerRowDxfId="391" dataDxfId="389" headerRowBorderDxfId="390">
  <autoFilter ref="A2:AM53" xr:uid="{00000000-0009-0000-0100-000012000000}"/>
  <tableColumns count="39">
    <tableColumn id="1" xr3:uid="{00000000-0010-0000-0600-000001000000}" name="Unit Name" dataDxfId="388"/>
    <tableColumn id="2" xr3:uid="{00000000-0010-0000-0600-000002000000}" name="Resident Name" dataDxfId="387"/>
    <tableColumn id="3" xr3:uid="{00000000-0010-0000-0600-000003000000}" name="Room #" dataDxfId="386"/>
    <tableColumn id="4" xr3:uid="{00000000-0010-0000-0600-000004000000}" name="Admit Date" dataDxfId="385"/>
    <tableColumn id="25" xr3:uid="{00000000-0010-0000-0600-000019000000}" name="Existing Infection from Previous Month(s)? Y/N" dataDxfId="384"/>
    <tableColumn id="5" xr3:uid="{00000000-0010-0000-0600-000005000000}" name="Infection type" dataDxfId="383"/>
    <tableColumn id="6" xr3:uid="{00000000-0010-0000-0600-000006000000}" name="Body System of Infection" dataDxfId="382">
      <calculatedColumnFormula>IFERROR(VLOOKUP(F3,Lookups!$D$2:$E$18,2,FALSE),"")</calculatedColumnFormula>
    </tableColumn>
    <tableColumn id="7" xr3:uid="{00000000-0010-0000-0600-000007000000}" name="Surveillance definition met? Y/N" dataDxfId="381"/>
    <tableColumn id="11" xr3:uid="{00000000-0010-0000-0600-00000B000000}" name="Symptom(s)" dataDxfId="380"/>
    <tableColumn id="12" xr3:uid="{00000000-0010-0000-0600-00000C000000}" name="Onset Date" dataDxfId="379"/>
    <tableColumn id="13" xr3:uid="{00000000-0010-0000-0600-00000D000000}" name="Device Type(s)" dataDxfId="378"/>
    <tableColumn id="14" xr3:uid="{00000000-0010-0000-0600-00000E000000}" name="Date(s) of Insertion" dataDxfId="377"/>
    <tableColumn id="15" xr3:uid="{00000000-0010-0000-0600-00000F000000}" name="Date(s) of Removal " dataDxfId="376"/>
    <tableColumn id="16" xr3:uid="{00000000-0010-0000-0600-000010000000}" name="Device Days" dataDxfId="375">
      <calculatedColumnFormula>IF(OR(ISBLANK(L3),ISBLANK(M3)),"",(M3-L3)+1)</calculatedColumnFormula>
    </tableColumn>
    <tableColumn id="17" xr3:uid="{00000000-0010-0000-0600-000011000000}" name="Infection Risk Factors" dataDxfId="374"/>
    <tableColumn id="18" xr3:uid="{00000000-0010-0000-0600-000012000000}" name="Diagnostic Performed? Y/N" dataDxfId="373"/>
    <tableColumn id="19" xr3:uid="{00000000-0010-0000-0600-000013000000}" name="Test Date" dataDxfId="372"/>
    <tableColumn id="20" xr3:uid="{00000000-0010-0000-0600-000014000000}" name="Type of Test" dataDxfId="371"/>
    <tableColumn id="21" xr3:uid="{00000000-0010-0000-0600-000015000000}" name="Specimen Source" dataDxfId="370"/>
    <tableColumn id="22" xr3:uid="{00000000-0010-0000-0600-000016000000}" name="Results (Organism colony counts for urine)" dataDxfId="369"/>
    <tableColumn id="23" xr3:uid="{00000000-0010-0000-0600-000017000000}" name="Antibiotic Resistant Organism? Y/N" dataDxfId="368"/>
    <tableColumn id="24" xr3:uid="{00000000-0010-0000-0600-000018000000}" name="If Yes, Specify:" dataDxfId="367"/>
    <tableColumn id="26" xr3:uid="{00000000-0010-0000-0600-00001A000000}" name="Antibiotic Name" dataDxfId="366"/>
    <tableColumn id="63" xr3:uid="{00000000-0010-0000-0600-00003F000000}" name="Class" dataDxfId="365">
      <calculatedColumnFormula>IFERROR(VLOOKUP(W3,Lookups!$G$2:$H$77,2,FALSE),"")</calculatedColumnFormula>
    </tableColumn>
    <tableColumn id="54" xr3:uid="{00000000-0010-0000-0600-000036000000}" name="Dose" dataDxfId="364"/>
    <tableColumn id="55" xr3:uid="{00000000-0010-0000-0600-000037000000}" name="Route" dataDxfId="363"/>
    <tableColumn id="56" xr3:uid="{00000000-0010-0000-0600-000038000000}" name="Frequency" dataDxfId="362"/>
    <tableColumn id="27" xr3:uid="{00000000-0010-0000-0600-00001B000000}" name="Provider" dataDxfId="361"/>
    <tableColumn id="28" xr3:uid="{00000000-0010-0000-0600-00001C000000}" name="Antimicrobial RX Origin" dataDxfId="360"/>
    <tableColumn id="29" xr3:uid="{00000000-0010-0000-0600-00001D000000}" name="Antibiotic Start Date" dataDxfId="359"/>
    <tableColumn id="30" xr3:uid="{00000000-0010-0000-0600-00001E000000}" name="Antibiotic End Date" dataDxfId="358"/>
    <tableColumn id="31" xr3:uid="{00000000-0010-0000-0600-00001F000000}" name="Total Days of Therapy " dataDxfId="357">
      <calculatedColumnFormula>IF(OR(ISBLANK(AD3),ISBLANK(AE3)),"",(AE3-AD3)+1)</calculatedColumnFormula>
    </tableColumn>
    <tableColumn id="32" xr3:uid="{00000000-0010-0000-0600-000020000000}" name="Meets Criteria? Y/N" dataDxfId="356"/>
    <tableColumn id="33" xr3:uid="{00000000-0010-0000-0600-000021000000}" name="Antibiotic Reassessment (Antibiotic &quot;Time outs&quot;) Performed? Y/N" dataDxfId="355"/>
    <tableColumn id="8" xr3:uid="{00000000-0010-0000-0600-000008000000}" name="Other Antimicrobials Prescribed Name" dataDxfId="354"/>
    <tableColumn id="9" xr3:uid="{00000000-0010-0000-0600-000009000000}" name="Other Antimicrobials Prescribed Class" dataDxfId="353">
      <calculatedColumnFormula>IFERROR(VLOOKUP(AI3,Lookups!$W$2:$X$15,2,FALSE),"")</calculatedColumnFormula>
    </tableColumn>
    <tableColumn id="51" xr3:uid="{00000000-0010-0000-0600-000033000000}" name="Transmission-based Precautions required? Y/N " dataDxfId="352"/>
    <tableColumn id="52" xr3:uid="{00000000-0010-0000-0600-000034000000}" name="If Yes, Specify" dataDxfId="351"/>
    <tableColumn id="53" xr3:uid="{00000000-0010-0000-0600-000035000000}" name="Date Symptoms Resolved " dataDxfId="35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racking_Table13161922" displayName="Tracking_Table13161922" ref="A2:AM53" totalsRowShown="0" headerRowDxfId="349" dataDxfId="347" headerRowBorderDxfId="348">
  <autoFilter ref="A2:AM53" xr:uid="{00000000-0009-0000-0100-000015000000}"/>
  <tableColumns count="39">
    <tableColumn id="1" xr3:uid="{00000000-0010-0000-0700-000001000000}" name="Unit Name" dataDxfId="346"/>
    <tableColumn id="2" xr3:uid="{00000000-0010-0000-0700-000002000000}" name="Resident Name" dataDxfId="345"/>
    <tableColumn id="3" xr3:uid="{00000000-0010-0000-0700-000003000000}" name="Room #" dataDxfId="344"/>
    <tableColumn id="4" xr3:uid="{00000000-0010-0000-0700-000004000000}" name="Admit Date" dataDxfId="343"/>
    <tableColumn id="25" xr3:uid="{00000000-0010-0000-0700-000019000000}" name="Existing Infection from Previous Month(s)? Y/N" dataDxfId="342"/>
    <tableColumn id="5" xr3:uid="{00000000-0010-0000-0700-000005000000}" name="Infection type" dataDxfId="341"/>
    <tableColumn id="6" xr3:uid="{00000000-0010-0000-0700-000006000000}" name="Body System of Infection" dataDxfId="340">
      <calculatedColumnFormula>IFERROR(VLOOKUP(F3,Lookups!$D$2:$E$18,2,FALSE),"")</calculatedColumnFormula>
    </tableColumn>
    <tableColumn id="7" xr3:uid="{00000000-0010-0000-0700-000007000000}" name="Surveillance definition met? Y/N" dataDxfId="339"/>
    <tableColumn id="11" xr3:uid="{00000000-0010-0000-0700-00000B000000}" name="Symptom(s)" dataDxfId="338"/>
    <tableColumn id="12" xr3:uid="{00000000-0010-0000-0700-00000C000000}" name="Onset Date" dataDxfId="337"/>
    <tableColumn id="13" xr3:uid="{00000000-0010-0000-0700-00000D000000}" name="Device Type(s)" dataDxfId="336"/>
    <tableColumn id="14" xr3:uid="{00000000-0010-0000-0700-00000E000000}" name="Date(s) of Insertion" dataDxfId="335"/>
    <tableColumn id="15" xr3:uid="{00000000-0010-0000-0700-00000F000000}" name="Date(s) of Removal " dataDxfId="334"/>
    <tableColumn id="16" xr3:uid="{00000000-0010-0000-0700-000010000000}" name="Device Days" dataDxfId="333">
      <calculatedColumnFormula>IF(OR(ISBLANK(L3),ISBLANK(M3)),"",(M3-L3)+1)</calculatedColumnFormula>
    </tableColumn>
    <tableColumn id="17" xr3:uid="{00000000-0010-0000-0700-000011000000}" name="Infection Risk Factors" dataDxfId="332"/>
    <tableColumn id="18" xr3:uid="{00000000-0010-0000-0700-000012000000}" name="Diagnostic Performed? Y/N" dataDxfId="331"/>
    <tableColumn id="19" xr3:uid="{00000000-0010-0000-0700-000013000000}" name="Test Date" dataDxfId="330"/>
    <tableColumn id="20" xr3:uid="{00000000-0010-0000-0700-000014000000}" name="Type of Test" dataDxfId="329"/>
    <tableColumn id="21" xr3:uid="{00000000-0010-0000-0700-000015000000}" name="Specimen Source" dataDxfId="328"/>
    <tableColumn id="22" xr3:uid="{00000000-0010-0000-0700-000016000000}" name="Results (Organism colony counts for urine)" dataDxfId="327"/>
    <tableColumn id="23" xr3:uid="{00000000-0010-0000-0700-000017000000}" name="Antibiotic Resistant Organism? Y/N" dataDxfId="326"/>
    <tableColumn id="24" xr3:uid="{00000000-0010-0000-0700-000018000000}" name="If Yes, Specify:" dataDxfId="325"/>
    <tableColumn id="26" xr3:uid="{00000000-0010-0000-0700-00001A000000}" name="Antibiotic Name" dataDxfId="324"/>
    <tableColumn id="63" xr3:uid="{00000000-0010-0000-0700-00003F000000}" name="Class" dataDxfId="323">
      <calculatedColumnFormula>IFERROR(VLOOKUP(W3,Lookups!$G$2:$H$77,2,FALSE),"")</calculatedColumnFormula>
    </tableColumn>
    <tableColumn id="54" xr3:uid="{00000000-0010-0000-0700-000036000000}" name="Dose" dataDxfId="322"/>
    <tableColumn id="55" xr3:uid="{00000000-0010-0000-0700-000037000000}" name="Route" dataDxfId="321"/>
    <tableColumn id="56" xr3:uid="{00000000-0010-0000-0700-000038000000}" name="Frequency" dataDxfId="320"/>
    <tableColumn id="27" xr3:uid="{00000000-0010-0000-0700-00001B000000}" name="Provider" dataDxfId="319"/>
    <tableColumn id="28" xr3:uid="{00000000-0010-0000-0700-00001C000000}" name="Antimicrobial RX Origin" dataDxfId="318"/>
    <tableColumn id="29" xr3:uid="{00000000-0010-0000-0700-00001D000000}" name="Antibiotic Start Date" dataDxfId="317"/>
    <tableColumn id="30" xr3:uid="{00000000-0010-0000-0700-00001E000000}" name="Antibiotic End Date" dataDxfId="316"/>
    <tableColumn id="31" xr3:uid="{00000000-0010-0000-0700-00001F000000}" name="Total Days of Therapy " dataDxfId="315">
      <calculatedColumnFormula>IF(OR(ISBLANK(AD3),ISBLANK(AE3)),"",(AE3-AD3)+1)</calculatedColumnFormula>
    </tableColumn>
    <tableColumn id="32" xr3:uid="{00000000-0010-0000-0700-000020000000}" name="Meets Criteria? Y/N" dataDxfId="314"/>
    <tableColumn id="33" xr3:uid="{00000000-0010-0000-0700-000021000000}" name="Antibiotic Reassessment (Antibiotic &quot;Time outs&quot;) Performed? Y/N" dataDxfId="313"/>
    <tableColumn id="8" xr3:uid="{00000000-0010-0000-0700-000008000000}" name="Other Antimicrobials Prescribed Name" dataDxfId="312"/>
    <tableColumn id="9" xr3:uid="{00000000-0010-0000-0700-000009000000}" name="Other Antimicrobials Prescribed Class" dataDxfId="311">
      <calculatedColumnFormula>IFERROR(VLOOKUP(AI3,Lookups!$W$2:$X$15,2,FALSE),"")</calculatedColumnFormula>
    </tableColumn>
    <tableColumn id="51" xr3:uid="{00000000-0010-0000-0700-000033000000}" name="Transmission-based Precautions required? Y/N " dataDxfId="310"/>
    <tableColumn id="52" xr3:uid="{00000000-0010-0000-0700-000034000000}" name="If Yes, Specify" dataDxfId="309"/>
    <tableColumn id="53" xr3:uid="{00000000-0010-0000-0700-000035000000}" name="Date Symptoms Resolved " dataDxfId="30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8000000}" name="Tracking_Table1316192229" displayName="Tracking_Table1316192229" ref="A2:AM53" totalsRowShown="0" headerRowDxfId="307" dataDxfId="305" headerRowBorderDxfId="306">
  <autoFilter ref="A2:AM53" xr:uid="{00000000-0009-0000-0100-00001C000000}"/>
  <tableColumns count="39">
    <tableColumn id="1" xr3:uid="{00000000-0010-0000-0800-000001000000}" name="Unit Name" dataDxfId="304"/>
    <tableColumn id="2" xr3:uid="{00000000-0010-0000-0800-000002000000}" name="Resident Name" dataDxfId="303"/>
    <tableColumn id="3" xr3:uid="{00000000-0010-0000-0800-000003000000}" name="Room #" dataDxfId="302"/>
    <tableColumn id="4" xr3:uid="{00000000-0010-0000-0800-000004000000}" name="Admit Date" dataDxfId="301"/>
    <tableColumn id="25" xr3:uid="{00000000-0010-0000-0800-000019000000}" name="Existing Infection from Previous Month(s)? Y/N" dataDxfId="300"/>
    <tableColumn id="5" xr3:uid="{00000000-0010-0000-0800-000005000000}" name="Infection type" dataDxfId="299"/>
    <tableColumn id="6" xr3:uid="{00000000-0010-0000-0800-000006000000}" name="Body System of Infection" dataDxfId="298">
      <calculatedColumnFormula>IFERROR(VLOOKUP(F3,Lookups!$D$2:$E$18,2,FALSE),"")</calculatedColumnFormula>
    </tableColumn>
    <tableColumn id="7" xr3:uid="{00000000-0010-0000-0800-000007000000}" name="Surveillance definition met? Y/N" dataDxfId="297"/>
    <tableColumn id="11" xr3:uid="{00000000-0010-0000-0800-00000B000000}" name="Symptom(s)" dataDxfId="296"/>
    <tableColumn id="12" xr3:uid="{00000000-0010-0000-0800-00000C000000}" name="Onset Date" dataDxfId="295"/>
    <tableColumn id="13" xr3:uid="{00000000-0010-0000-0800-00000D000000}" name="Device Type(s)" dataDxfId="294"/>
    <tableColumn id="14" xr3:uid="{00000000-0010-0000-0800-00000E000000}" name="Date(s) of Insertion" dataDxfId="293"/>
    <tableColumn id="15" xr3:uid="{00000000-0010-0000-0800-00000F000000}" name="Date(s) of Removal " dataDxfId="292"/>
    <tableColumn id="16" xr3:uid="{00000000-0010-0000-0800-000010000000}" name="Device Days" dataDxfId="291">
      <calculatedColumnFormula>IF(OR(ISBLANK(L3),ISBLANK(M3)),"",(M3-L3)+1)</calculatedColumnFormula>
    </tableColumn>
    <tableColumn id="17" xr3:uid="{00000000-0010-0000-0800-000011000000}" name="Infection Risk Factors" dataDxfId="290"/>
    <tableColumn id="18" xr3:uid="{00000000-0010-0000-0800-000012000000}" name="Diagnostic Performed? Y/N" dataDxfId="289"/>
    <tableColumn id="19" xr3:uid="{00000000-0010-0000-0800-000013000000}" name="Test Date" dataDxfId="288"/>
    <tableColumn id="20" xr3:uid="{00000000-0010-0000-0800-000014000000}" name="Type of Test" dataDxfId="287"/>
    <tableColumn id="21" xr3:uid="{00000000-0010-0000-0800-000015000000}" name="Specimen Source" dataDxfId="286"/>
    <tableColumn id="22" xr3:uid="{00000000-0010-0000-0800-000016000000}" name="Results (Organism colony counts for urine)" dataDxfId="285"/>
    <tableColumn id="23" xr3:uid="{00000000-0010-0000-0800-000017000000}" name="Antibiotic Resistant Organism? Y/N" dataDxfId="284"/>
    <tableColumn id="24" xr3:uid="{00000000-0010-0000-0800-000018000000}" name="If Yes, Specify:" dataDxfId="283"/>
    <tableColumn id="26" xr3:uid="{00000000-0010-0000-0800-00001A000000}" name="Antibiotic Name" dataDxfId="282"/>
    <tableColumn id="63" xr3:uid="{00000000-0010-0000-0800-00003F000000}" name="Class" dataDxfId="281">
      <calculatedColumnFormula>IFERROR(VLOOKUP(W3,Lookups!$G$2:$H$77,2,FALSE),"")</calculatedColumnFormula>
    </tableColumn>
    <tableColumn id="54" xr3:uid="{00000000-0010-0000-0800-000036000000}" name="Dose" dataDxfId="280"/>
    <tableColumn id="55" xr3:uid="{00000000-0010-0000-0800-000037000000}" name="Route" dataDxfId="279"/>
    <tableColumn id="56" xr3:uid="{00000000-0010-0000-0800-000038000000}" name="Frequency" dataDxfId="278"/>
    <tableColumn id="27" xr3:uid="{00000000-0010-0000-0800-00001B000000}" name="Provider" dataDxfId="277"/>
    <tableColumn id="28" xr3:uid="{00000000-0010-0000-0800-00001C000000}" name="Antimicrobial RX Origin" dataDxfId="276"/>
    <tableColumn id="29" xr3:uid="{00000000-0010-0000-0800-00001D000000}" name="Antibiotic Start Date" dataDxfId="275"/>
    <tableColumn id="30" xr3:uid="{00000000-0010-0000-0800-00001E000000}" name="Antibiotic End Date" dataDxfId="274"/>
    <tableColumn id="31" xr3:uid="{00000000-0010-0000-0800-00001F000000}" name="Total Days of Therapy " dataDxfId="273">
      <calculatedColumnFormula>IF(OR(ISBLANK(AD3),ISBLANK(AE3)),"",(AE3-AD3)+1)</calculatedColumnFormula>
    </tableColumn>
    <tableColumn id="32" xr3:uid="{00000000-0010-0000-0800-000020000000}" name="Meets Criteria? Y/N" dataDxfId="272"/>
    <tableColumn id="33" xr3:uid="{00000000-0010-0000-0800-000021000000}" name="Antibiotic Reassessment (Antibiotic &quot;Time outs&quot;) Performed? Y/N" dataDxfId="271"/>
    <tableColumn id="9" xr3:uid="{00000000-0010-0000-0800-000009000000}" name="Other Antimicrobials Prescribed Name" dataDxfId="270"/>
    <tableColumn id="8" xr3:uid="{00000000-0010-0000-0800-000008000000}" name="Other Antimicrobials Prescribed Class" dataDxfId="269">
      <calculatedColumnFormula>IFERROR(VLOOKUP(AI3,Lookups!$W$2:$X$15,2,FALSE),"")</calculatedColumnFormula>
    </tableColumn>
    <tableColumn id="51" xr3:uid="{00000000-0010-0000-0800-000033000000}" name="Transmission-based Precautions required? Y/N " dataDxfId="268"/>
    <tableColumn id="52" xr3:uid="{00000000-0010-0000-0800-000034000000}" name="If Yes, Specify" dataDxfId="267"/>
    <tableColumn id="53" xr3:uid="{00000000-0010-0000-0800-000035000000}" name="Date Symptoms Resolved " dataDxfId="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18"/>
  <sheetViews>
    <sheetView showGridLines="0" workbookViewId="0">
      <selection activeCell="B7" sqref="B7"/>
    </sheetView>
  </sheetViews>
  <sheetFormatPr defaultRowHeight="15" x14ac:dyDescent="0.25"/>
  <cols>
    <col min="1" max="1" width="15.140625" customWidth="1"/>
    <col min="2" max="2" width="34" customWidth="1"/>
    <col min="9" max="9" width="10.85546875" bestFit="1" customWidth="1"/>
    <col min="10" max="10" width="22.7109375" bestFit="1" customWidth="1"/>
  </cols>
  <sheetData>
    <row r="5" spans="1:2" x14ac:dyDescent="0.25">
      <c r="A5" s="64" t="s">
        <v>256</v>
      </c>
      <c r="B5" s="65"/>
    </row>
    <row r="6" spans="1:2" x14ac:dyDescent="0.25">
      <c r="A6" s="39" t="s">
        <v>188</v>
      </c>
      <c r="B6" s="38" t="s">
        <v>233</v>
      </c>
    </row>
    <row r="7" spans="1:2" x14ac:dyDescent="0.25">
      <c r="A7" s="5" t="s">
        <v>189</v>
      </c>
      <c r="B7" s="20"/>
    </row>
    <row r="8" spans="1:2" x14ac:dyDescent="0.25">
      <c r="A8" s="5" t="s">
        <v>190</v>
      </c>
      <c r="B8" s="20"/>
    </row>
    <row r="9" spans="1:2" x14ac:dyDescent="0.25">
      <c r="A9" s="5" t="s">
        <v>191</v>
      </c>
      <c r="B9" s="20"/>
    </row>
    <row r="10" spans="1:2" x14ac:dyDescent="0.25">
      <c r="A10" s="5" t="s">
        <v>192</v>
      </c>
      <c r="B10" s="20"/>
    </row>
    <row r="11" spans="1:2" x14ac:dyDescent="0.25">
      <c r="A11" s="5" t="s">
        <v>193</v>
      </c>
      <c r="B11" s="20"/>
    </row>
    <row r="12" spans="1:2" x14ac:dyDescent="0.25">
      <c r="A12" s="5" t="s">
        <v>194</v>
      </c>
      <c r="B12" s="20"/>
    </row>
    <row r="13" spans="1:2" x14ac:dyDescent="0.25">
      <c r="A13" s="5" t="s">
        <v>195</v>
      </c>
      <c r="B13" s="20"/>
    </row>
    <row r="14" spans="1:2" x14ac:dyDescent="0.25">
      <c r="A14" s="5" t="s">
        <v>196</v>
      </c>
      <c r="B14" s="20"/>
    </row>
    <row r="15" spans="1:2" x14ac:dyDescent="0.25">
      <c r="A15" s="5" t="s">
        <v>197</v>
      </c>
      <c r="B15" s="20"/>
    </row>
    <row r="16" spans="1:2" x14ac:dyDescent="0.25">
      <c r="A16" s="5" t="s">
        <v>198</v>
      </c>
      <c r="B16" s="20"/>
    </row>
    <row r="17" spans="1:2" x14ac:dyDescent="0.25">
      <c r="A17" s="5" t="s">
        <v>199</v>
      </c>
      <c r="B17" s="20"/>
    </row>
    <row r="18" spans="1:2" x14ac:dyDescent="0.25">
      <c r="A18" s="7" t="s">
        <v>200</v>
      </c>
      <c r="B18" s="27"/>
    </row>
  </sheetData>
  <mergeCells count="1">
    <mergeCell ref="A5:B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YyD76MmAOHWzYoxjgknuLCqOqsNx2SljihrNEiUEIvSjQg94dHsbS1LpvyxsMki+zjBLHiCh6dwmqhnySRpkiQ==" saltValue="McRtEnl4N3iRfgA+MXsbD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900-000000000000}">
      <formula1>INDIRECT("Device_Type[Device_Type]")</formula1>
    </dataValidation>
    <dataValidation type="list" allowBlank="1" showInputMessage="1" showErrorMessage="1" sqref="H3:H53 P3:P53 U3:U53 AG3:AH53 AK3:AK53" xr:uid="{00000000-0002-0000-0900-000001000000}">
      <formula1>"Yes, No"</formula1>
    </dataValidation>
    <dataValidation type="list" allowBlank="1" showInputMessage="1" showErrorMessage="1" sqref="W3:W53" xr:uid="{00000000-0002-0000-0900-000002000000}">
      <formula1>INDIRECT("ABX_Name_Class[ABX Name]")</formula1>
    </dataValidation>
    <dataValidation type="list" allowBlank="1" showInputMessage="1" showErrorMessage="1" sqref="F3:F53" xr:uid="{00000000-0002-0000-0900-000003000000}">
      <formula1>INDIRECT("Infection_type[infection type]")</formula1>
    </dataValidation>
    <dataValidation type="list" allowBlank="1" showInputMessage="1" showErrorMessage="1" sqref="Z3:Z53" xr:uid="{00000000-0002-0000-0900-000004000000}">
      <formula1>INDIRECT("ABX_Route[ABX Route]")</formula1>
    </dataValidation>
    <dataValidation type="list" allowBlank="1" showInputMessage="1" showErrorMessage="1" sqref="AC3:AC53" xr:uid="{00000000-0002-0000-0900-000005000000}">
      <formula1>INDIRECT("ABX_Origination[ABX Origination]")</formula1>
    </dataValidation>
    <dataValidation type="list" allowBlank="1" showInputMessage="1" showErrorMessage="1" sqref="S3:S53" xr:uid="{00000000-0002-0000-09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900-000007000000}">
      <formula1>"Yes, No"</formula1>
    </dataValidation>
    <dataValidation type="list" allowBlank="1" showInputMessage="1" showErrorMessage="1" sqref="AL3:AL53" xr:uid="{00000000-0002-0000-0900-000008000000}">
      <formula1>INDIRECT("Precautions[Transmission-based Precautions]")</formula1>
    </dataValidation>
    <dataValidation type="list" allowBlank="1" showInputMessage="1" showErrorMessage="1" sqref="AI3:AI53" xr:uid="{00000000-0002-0000-09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3.85546875" style="16" customWidth="1"/>
    <col min="11" max="11" width="11.85546875" style="16" customWidth="1"/>
    <col min="12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fxMWOm7yAVgF8bB3SIIrNu2yqVY3VkrmCF42dst+rXeeGQ2PHBfqXYJWo5vTJfzj8hyElIH5Xu3b+x/OsKfxVw==" saltValue="mXR2ZDwIEfyYTgtjbpfTV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A00-000000000000}">
      <formula1>INDIRECT("ABX_Route[ABX Route]")</formula1>
    </dataValidation>
    <dataValidation type="list" allowBlank="1" showInputMessage="1" showErrorMessage="1" sqref="F3:F53" xr:uid="{00000000-0002-0000-0A00-000001000000}">
      <formula1>INDIRECT("Infection_type[infection type]")</formula1>
    </dataValidation>
    <dataValidation type="list" allowBlank="1" showInputMessage="1" showErrorMessage="1" sqref="W3:W53" xr:uid="{00000000-0002-0000-0A00-000002000000}">
      <formula1>INDIRECT("ABX_Name_Class[ABX Name]")</formula1>
    </dataValidation>
    <dataValidation type="list" allowBlank="1" showInputMessage="1" showErrorMessage="1" sqref="H3:H53 P3:P53 U3:U53 AG3:AH53 AK3:AK53" xr:uid="{00000000-0002-0000-0A00-000003000000}">
      <formula1>"Yes, No"</formula1>
    </dataValidation>
    <dataValidation type="list" allowBlank="1" showInputMessage="1" showErrorMessage="1" sqref="K3:K53" xr:uid="{00000000-0002-0000-0A00-000004000000}">
      <formula1>INDIRECT("Device_Type[Device_Type]")</formula1>
    </dataValidation>
    <dataValidation type="list" allowBlank="1" showInputMessage="1" showErrorMessage="1" sqref="AC3:AC53" xr:uid="{00000000-0002-0000-0A00-000005000000}">
      <formula1>INDIRECT("ABX_Origination[ABX Origination]")</formula1>
    </dataValidation>
    <dataValidation type="list" allowBlank="1" showInputMessage="1" showErrorMessage="1" sqref="S3:S53" xr:uid="{00000000-0002-0000-0A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A00-000007000000}">
      <formula1>"Yes, No"</formula1>
    </dataValidation>
    <dataValidation type="list" allowBlank="1" showInputMessage="1" showErrorMessage="1" sqref="AL3:AL53" xr:uid="{00000000-0002-0000-0A00-000008000000}">
      <formula1>INDIRECT("Precautions[Transmission-based Precautions]")</formula1>
    </dataValidation>
    <dataValidation type="list" allowBlank="1" showInputMessage="1" showErrorMessage="1" sqref="AI3:AI53" xr:uid="{00000000-0002-0000-0A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25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710937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24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J8" s="17"/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J9" s="17"/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J10" s="17"/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J11" s="17"/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J12" s="17"/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J13" s="17"/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J14" s="17"/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J15" s="17"/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J16" s="17"/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J17" s="17"/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J18" s="17"/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J19" s="17"/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J20" s="17"/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J21" s="17"/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J22" s="17"/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J23" s="17"/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J24" s="17"/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J25" s="17"/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J26" s="17"/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J27" s="17"/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J28" s="17"/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J29" s="17"/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J30" s="17"/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J31" s="17"/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J32" s="17"/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J33" s="17"/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J34" s="17"/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J35" s="17"/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J36" s="17"/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J37" s="17"/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J38" s="17"/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J39" s="17"/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J40" s="17"/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J41" s="17"/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J42" s="17"/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J43" s="17"/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J44" s="17"/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J45" s="17"/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J46" s="17"/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J47" s="17"/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J48" s="17"/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J49" s="17"/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J50" s="17"/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sJ7UMKhLUZTT+GWSkKQxcUJzBgFS6i9QTTls6q1vq7g0lP/mQ/zkXPthKedmTaP3CcOy9/zNNX65CP1A42ucSw==" saltValue="SM9qxw+gUbiQVGrbcf5uqg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B00-000000000000}">
      <formula1>INDIRECT("Device_Type[Device_Type]")</formula1>
    </dataValidation>
    <dataValidation type="list" allowBlank="1" showInputMessage="1" showErrorMessage="1" sqref="H3:H53 P3:P53 U3:U53 AG3:AH53 AK3:AK53" xr:uid="{00000000-0002-0000-0B00-000001000000}">
      <formula1>"Yes, No"</formula1>
    </dataValidation>
    <dataValidation type="list" allowBlank="1" showInputMessage="1" showErrorMessage="1" sqref="W3:W53" xr:uid="{00000000-0002-0000-0B00-000002000000}">
      <formula1>INDIRECT("ABX_Name_Class[ABX Name]")</formula1>
    </dataValidation>
    <dataValidation type="list" allowBlank="1" showInputMessage="1" showErrorMessage="1" sqref="F3:F53" xr:uid="{00000000-0002-0000-0B00-000003000000}">
      <formula1>INDIRECT("Infection_type[infection type]")</formula1>
    </dataValidation>
    <dataValidation type="list" allowBlank="1" showInputMessage="1" showErrorMessage="1" sqref="Z3:Z53" xr:uid="{00000000-0002-0000-0B00-000004000000}">
      <formula1>INDIRECT("ABX_Route[ABX Route]")</formula1>
    </dataValidation>
    <dataValidation type="list" allowBlank="1" showInputMessage="1" showErrorMessage="1" sqref="AC3:AC53" xr:uid="{00000000-0002-0000-0B00-000005000000}">
      <formula1>INDIRECT("ABX_Origination[ABX Origination]")</formula1>
    </dataValidation>
    <dataValidation type="list" allowBlank="1" showInputMessage="1" showErrorMessage="1" sqref="S3:S53" xr:uid="{00000000-0002-0000-0B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B00-000007000000}">
      <formula1>"Yes, No"</formula1>
    </dataValidation>
    <dataValidation type="list" allowBlank="1" showInputMessage="1" showErrorMessage="1" sqref="AL3:AL53" xr:uid="{00000000-0002-0000-0B00-000008000000}">
      <formula1>INDIRECT("Precautions[Transmission-based Precautions]")</formula1>
    </dataValidation>
    <dataValidation type="list" allowBlank="1" showInputMessage="1" showErrorMessage="1" sqref="AI3:AI53" xr:uid="{00000000-0002-0000-0B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57031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UDy4SHpUb1PGCKOd4mpqGlP86Cn7vu+9cASQO5/ontKv+tKn4RAJmOnPrYeQ9o7kvhxJme9y3aqrWhhYBk5Vrg==" saltValue="Vxd83S61KxqnxqQeKozw2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C00-000000000000}">
      <formula1>INDIRECT("ABX_Route[ABX Route]")</formula1>
    </dataValidation>
    <dataValidation type="list" allowBlank="1" showInputMessage="1" showErrorMessage="1" sqref="F3:F53" xr:uid="{00000000-0002-0000-0C00-000001000000}">
      <formula1>INDIRECT("Infection_type[infection type]")</formula1>
    </dataValidation>
    <dataValidation type="list" allowBlank="1" showInputMessage="1" showErrorMessage="1" sqref="W3:W53" xr:uid="{00000000-0002-0000-0C00-000002000000}">
      <formula1>INDIRECT("ABX_Name_Class[ABX Name]")</formula1>
    </dataValidation>
    <dataValidation type="list" allowBlank="1" showInputMessage="1" showErrorMessage="1" sqref="H3:H53 P3:P53 U3:U53 AG3:AH53 AK3:AK53" xr:uid="{00000000-0002-0000-0C00-000003000000}">
      <formula1>"Yes, No"</formula1>
    </dataValidation>
    <dataValidation type="list" allowBlank="1" showInputMessage="1" showErrorMessage="1" sqref="K3:K53" xr:uid="{00000000-0002-0000-0C00-000004000000}">
      <formula1>INDIRECT("Device_Type[Device_Type]")</formula1>
    </dataValidation>
    <dataValidation type="list" allowBlank="1" showInputMessage="1" showErrorMessage="1" sqref="AC3:AC53" xr:uid="{00000000-0002-0000-0C00-000005000000}">
      <formula1>INDIRECT("ABX_Origination[ABX Origination]")</formula1>
    </dataValidation>
    <dataValidation type="list" allowBlank="1" showInputMessage="1" showErrorMessage="1" sqref="S3:S53" xr:uid="{00000000-0002-0000-0C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C00-000007000000}">
      <formula1>"Yes, No"</formula1>
    </dataValidation>
    <dataValidation type="list" allowBlank="1" showInputMessage="1" showErrorMessage="1" sqref="AL3:AL53" xr:uid="{00000000-0002-0000-0C00-000008000000}">
      <formula1>INDIRECT("Precautions[Transmission-based Precautions]")</formula1>
    </dataValidation>
    <dataValidation type="list" allowBlank="1" showInputMessage="1" showErrorMessage="1" sqref="AI3:AI53" xr:uid="{00000000-0002-0000-0C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1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140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PZ0BS3/iMapW8bvWQi9M80ERpRTO6h9OXXiba3AaXOu8DcA3si1+jt3GOGcWhfM1iWJQB2mMnZuY7r2IXDYlpQ==" saltValue="1o+qyCbM5Lcq1rA+CCLWP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D00-000000000000}">
      <formula1>INDIRECT("Device_Type[Device_Type]")</formula1>
    </dataValidation>
    <dataValidation type="list" allowBlank="1" showInputMessage="1" showErrorMessage="1" sqref="H3:H53 P3:P53 U3:U53 AG3:AH53 AK3:AK53" xr:uid="{00000000-0002-0000-0D00-000001000000}">
      <formula1>"Yes, No"</formula1>
    </dataValidation>
    <dataValidation type="list" allowBlank="1" showInputMessage="1" showErrorMessage="1" sqref="W3:W53" xr:uid="{00000000-0002-0000-0D00-000002000000}">
      <formula1>INDIRECT("ABX_Name_Class[ABX Name]")</formula1>
    </dataValidation>
    <dataValidation type="list" allowBlank="1" showInputMessage="1" showErrorMessage="1" sqref="F3:F53" xr:uid="{00000000-0002-0000-0D00-000003000000}">
      <formula1>INDIRECT("Infection_type[infection type]")</formula1>
    </dataValidation>
    <dataValidation type="list" allowBlank="1" showInputMessage="1" showErrorMessage="1" sqref="Z3:Z53" xr:uid="{00000000-0002-0000-0D00-000004000000}">
      <formula1>INDIRECT("ABX_Route[ABX Route]")</formula1>
    </dataValidation>
    <dataValidation type="list" allowBlank="1" showInputMessage="1" showErrorMessage="1" sqref="AC3:AC53" xr:uid="{00000000-0002-0000-0D00-000005000000}">
      <formula1>INDIRECT("ABX_Origination[ABX Origination]")</formula1>
    </dataValidation>
    <dataValidation type="list" allowBlank="1" showInputMessage="1" showErrorMessage="1" sqref="S3:S53" xr:uid="{00000000-0002-0000-0D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D00-000007000000}">
      <formula1>"Yes, No"</formula1>
    </dataValidation>
    <dataValidation type="list" allowBlank="1" showInputMessage="1" showErrorMessage="1" sqref="AL3:AL53" xr:uid="{00000000-0002-0000-0D00-000008000000}">
      <formula1>INDIRECT("Precautions[Transmission-based Precautions]")</formula1>
    </dataValidation>
    <dataValidation type="list" allowBlank="1" showInputMessage="1" showErrorMessage="1" sqref="AI3:AI53" xr:uid="{00000000-0002-0000-0D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425781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85546875" style="16" customWidth="1"/>
    <col min="21" max="22" width="12" style="16" customWidth="1"/>
    <col min="23" max="23" width="18.140625" style="16" customWidth="1"/>
    <col min="24" max="24" width="20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5nZ2ugAzldvZVCIBGVDXkoiYn/2RZtkc5dTGAj3mM1qTWKpcTmCeBtu2BnvNH5jFX/DdD3g5sSZ7W0FpUbV7hw==" saltValue="RgXH0kC7kpCW/9HgXLNoHg==" spinCount="100000" sheet="1" formatCells="0" formatColumns="0" formatRows="0" insertRows="0" deleteRows="0" sort="0" pivotTables="0"/>
  <dataConsolidate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E00-000000000000}">
      <formula1>INDIRECT("ABX_Route[ABX Route]")</formula1>
    </dataValidation>
    <dataValidation type="list" allowBlank="1" showInputMessage="1" showErrorMessage="1" sqref="F3:F53" xr:uid="{00000000-0002-0000-0E00-000001000000}">
      <formula1>INDIRECT("Infection_type[infection type]")</formula1>
    </dataValidation>
    <dataValidation type="list" allowBlank="1" showInputMessage="1" showErrorMessage="1" sqref="W3:W53" xr:uid="{00000000-0002-0000-0E00-000002000000}">
      <formula1>INDIRECT("ABX_Name_Class[ABX Name]")</formula1>
    </dataValidation>
    <dataValidation type="list" allowBlank="1" showInputMessage="1" showErrorMessage="1" sqref="H3:H53 P3:P53 U3:U53 AG3:AH53 AK3:AK53" xr:uid="{00000000-0002-0000-0E00-000003000000}">
      <formula1>"Yes, No"</formula1>
    </dataValidation>
    <dataValidation type="list" allowBlank="1" showInputMessage="1" showErrorMessage="1" sqref="K3:K53" xr:uid="{00000000-0002-0000-0E00-000004000000}">
      <formula1>INDIRECT("Device_Type[Device_Type]")</formula1>
    </dataValidation>
    <dataValidation type="list" allowBlank="1" showInputMessage="1" showErrorMessage="1" sqref="AC3:AC53" xr:uid="{00000000-0002-0000-0E00-000005000000}">
      <formula1>INDIRECT("ABX_Origination[ABX Origination]")</formula1>
    </dataValidation>
    <dataValidation type="list" allowBlank="1" showInputMessage="1" showErrorMessage="1" sqref="S3:S53" xr:uid="{00000000-0002-0000-0E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E00-000007000000}">
      <formula1>"Yes, No"</formula1>
    </dataValidation>
    <dataValidation type="list" allowBlank="1" showInputMessage="1" showErrorMessage="1" sqref="AL3:AL53" xr:uid="{00000000-0002-0000-0E00-000008000000}">
      <formula1>INDIRECT("Precautions[Transmission-based Precautions]")</formula1>
    </dataValidation>
    <dataValidation type="list" allowBlank="1" showInputMessage="1" showErrorMessage="1" sqref="AI3:AI53" xr:uid="{00000000-0002-0000-0E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7"/>
  <sheetViews>
    <sheetView workbookViewId="0">
      <selection activeCell="M52" sqref="M52"/>
    </sheetView>
  </sheetViews>
  <sheetFormatPr defaultRowHeight="15" x14ac:dyDescent="0.25"/>
  <cols>
    <col min="1" max="1" width="16.140625" customWidth="1"/>
    <col min="4" max="4" width="27.140625" bestFit="1" customWidth="1"/>
    <col min="5" max="5" width="25.140625" customWidth="1"/>
    <col min="7" max="7" width="30.85546875" bestFit="1" customWidth="1"/>
    <col min="8" max="8" width="41" bestFit="1" customWidth="1"/>
    <col min="11" max="11" width="17.85546875" bestFit="1" customWidth="1"/>
    <col min="14" max="14" width="22.7109375" bestFit="1" customWidth="1"/>
    <col min="17" max="17" width="18.28515625" customWidth="1"/>
    <col min="20" max="20" width="31.5703125" customWidth="1"/>
    <col min="23" max="23" width="24.5703125" bestFit="1" customWidth="1"/>
    <col min="24" max="24" width="24" bestFit="1" customWidth="1"/>
  </cols>
  <sheetData>
    <row r="1" spans="1:24" x14ac:dyDescent="0.25">
      <c r="A1" s="1" t="s">
        <v>250</v>
      </c>
      <c r="D1" t="s">
        <v>34</v>
      </c>
      <c r="E1" t="s">
        <v>5</v>
      </c>
      <c r="G1" s="1" t="s">
        <v>251</v>
      </c>
      <c r="H1" s="1" t="s">
        <v>254</v>
      </c>
      <c r="K1" s="52" t="s">
        <v>252</v>
      </c>
      <c r="N1" t="s">
        <v>253</v>
      </c>
      <c r="Q1" t="s">
        <v>13</v>
      </c>
      <c r="T1" t="s">
        <v>226</v>
      </c>
      <c r="W1" s="53" t="s">
        <v>238</v>
      </c>
      <c r="X1" s="54" t="s">
        <v>239</v>
      </c>
    </row>
    <row r="2" spans="1:24" x14ac:dyDescent="0.25">
      <c r="A2" t="s">
        <v>28</v>
      </c>
      <c r="D2" s="49" t="s">
        <v>35</v>
      </c>
      <c r="E2" s="49" t="s">
        <v>170</v>
      </c>
      <c r="G2" s="48" t="s">
        <v>54</v>
      </c>
      <c r="H2" s="48" t="s">
        <v>55</v>
      </c>
      <c r="K2" t="s">
        <v>175</v>
      </c>
      <c r="N2" t="s">
        <v>181</v>
      </c>
      <c r="Q2" t="s">
        <v>184</v>
      </c>
      <c r="T2" t="s">
        <v>225</v>
      </c>
      <c r="W2" s="55" t="s">
        <v>62</v>
      </c>
      <c r="X2" s="56" t="s">
        <v>63</v>
      </c>
    </row>
    <row r="3" spans="1:24" x14ac:dyDescent="0.25">
      <c r="A3" t="s">
        <v>29</v>
      </c>
      <c r="D3" s="49" t="s">
        <v>36</v>
      </c>
      <c r="E3" s="49" t="s">
        <v>170</v>
      </c>
      <c r="G3" s="48" t="s">
        <v>56</v>
      </c>
      <c r="H3" s="48" t="s">
        <v>57</v>
      </c>
      <c r="K3" t="s">
        <v>176</v>
      </c>
      <c r="N3" t="s">
        <v>213</v>
      </c>
      <c r="Q3" t="s">
        <v>185</v>
      </c>
      <c r="T3" t="s">
        <v>227</v>
      </c>
      <c r="W3" s="51" t="s">
        <v>64</v>
      </c>
      <c r="X3" s="50" t="s">
        <v>63</v>
      </c>
    </row>
    <row r="4" spans="1:24" x14ac:dyDescent="0.25">
      <c r="A4" t="s">
        <v>30</v>
      </c>
      <c r="D4" s="49" t="s">
        <v>37</v>
      </c>
      <c r="E4" s="49" t="s">
        <v>170</v>
      </c>
      <c r="G4" s="48" t="s">
        <v>58</v>
      </c>
      <c r="H4" s="48" t="s">
        <v>59</v>
      </c>
      <c r="K4" t="s">
        <v>230</v>
      </c>
      <c r="N4" t="s">
        <v>182</v>
      </c>
      <c r="Q4" t="s">
        <v>186</v>
      </c>
      <c r="T4" t="s">
        <v>228</v>
      </c>
      <c r="W4" s="57" t="s">
        <v>67</v>
      </c>
      <c r="X4" s="58" t="s">
        <v>68</v>
      </c>
    </row>
    <row r="5" spans="1:24" x14ac:dyDescent="0.25">
      <c r="A5" t="s">
        <v>31</v>
      </c>
      <c r="D5" s="49" t="s">
        <v>38</v>
      </c>
      <c r="E5" s="49" t="s">
        <v>170</v>
      </c>
      <c r="G5" s="48" t="s">
        <v>60</v>
      </c>
      <c r="H5" s="48" t="s">
        <v>61</v>
      </c>
      <c r="K5" t="s">
        <v>177</v>
      </c>
      <c r="N5" t="s">
        <v>183</v>
      </c>
      <c r="Q5" t="s">
        <v>201</v>
      </c>
      <c r="T5" t="s">
        <v>49</v>
      </c>
      <c r="W5" s="51" t="s">
        <v>73</v>
      </c>
      <c r="X5" s="50" t="s">
        <v>68</v>
      </c>
    </row>
    <row r="6" spans="1:24" x14ac:dyDescent="0.25">
      <c r="A6" t="s">
        <v>32</v>
      </c>
      <c r="D6" s="49" t="s">
        <v>39</v>
      </c>
      <c r="E6" s="49" t="s">
        <v>170</v>
      </c>
      <c r="G6" s="48" t="s">
        <v>65</v>
      </c>
      <c r="H6" s="48" t="s">
        <v>59</v>
      </c>
      <c r="K6" t="s">
        <v>231</v>
      </c>
      <c r="N6" t="s">
        <v>49</v>
      </c>
      <c r="Q6" t="s">
        <v>204</v>
      </c>
      <c r="W6" s="55" t="s">
        <v>117</v>
      </c>
      <c r="X6" s="56" t="s">
        <v>118</v>
      </c>
    </row>
    <row r="7" spans="1:24" x14ac:dyDescent="0.25">
      <c r="A7" t="s">
        <v>33</v>
      </c>
      <c r="D7" s="49" t="s">
        <v>40</v>
      </c>
      <c r="E7" s="49" t="s">
        <v>170</v>
      </c>
      <c r="G7" s="48" t="s">
        <v>66</v>
      </c>
      <c r="H7" s="48" t="s">
        <v>61</v>
      </c>
      <c r="K7" t="s">
        <v>49</v>
      </c>
      <c r="Q7" t="s">
        <v>205</v>
      </c>
      <c r="W7" s="51" t="s">
        <v>124</v>
      </c>
      <c r="X7" s="50" t="s">
        <v>118</v>
      </c>
    </row>
    <row r="8" spans="1:24" x14ac:dyDescent="0.25">
      <c r="D8" s="49" t="s">
        <v>41</v>
      </c>
      <c r="E8" s="49" t="s">
        <v>171</v>
      </c>
      <c r="G8" s="48" t="s">
        <v>69</v>
      </c>
      <c r="H8" s="48" t="s">
        <v>70</v>
      </c>
      <c r="Q8" t="s">
        <v>203</v>
      </c>
      <c r="W8" s="55" t="s">
        <v>125</v>
      </c>
      <c r="X8" s="56" t="s">
        <v>118</v>
      </c>
    </row>
    <row r="9" spans="1:24" x14ac:dyDescent="0.25">
      <c r="D9" s="49" t="s">
        <v>42</v>
      </c>
      <c r="E9" s="49" t="s">
        <v>172</v>
      </c>
      <c r="G9" s="48" t="s">
        <v>71</v>
      </c>
      <c r="H9" s="48" t="s">
        <v>72</v>
      </c>
      <c r="Q9" t="s">
        <v>202</v>
      </c>
      <c r="W9" s="51" t="s">
        <v>132</v>
      </c>
      <c r="X9" s="50" t="s">
        <v>68</v>
      </c>
    </row>
    <row r="10" spans="1:24" x14ac:dyDescent="0.25">
      <c r="D10" s="49" t="s">
        <v>43</v>
      </c>
      <c r="E10" s="49" t="s">
        <v>172</v>
      </c>
      <c r="G10" s="48" t="s">
        <v>74</v>
      </c>
      <c r="H10" s="48" t="s">
        <v>75</v>
      </c>
      <c r="Q10" t="s">
        <v>49</v>
      </c>
      <c r="W10" s="51" t="s">
        <v>140</v>
      </c>
      <c r="X10" s="50" t="s">
        <v>141</v>
      </c>
    </row>
    <row r="11" spans="1:24" x14ac:dyDescent="0.25">
      <c r="D11" s="49" t="s">
        <v>44</v>
      </c>
      <c r="E11" s="49" t="s">
        <v>172</v>
      </c>
      <c r="G11" s="48" t="s">
        <v>76</v>
      </c>
      <c r="H11" s="48" t="s">
        <v>75</v>
      </c>
      <c r="W11" s="59" t="s">
        <v>49</v>
      </c>
      <c r="X11" s="60" t="s">
        <v>49</v>
      </c>
    </row>
    <row r="12" spans="1:24" x14ac:dyDescent="0.25">
      <c r="D12" s="49" t="s">
        <v>45</v>
      </c>
      <c r="E12" s="49" t="s">
        <v>173</v>
      </c>
      <c r="G12" s="48" t="s">
        <v>77</v>
      </c>
      <c r="H12" s="48" t="s">
        <v>75</v>
      </c>
      <c r="W12" s="51" t="s">
        <v>145</v>
      </c>
      <c r="X12" s="50" t="s">
        <v>141</v>
      </c>
    </row>
    <row r="13" spans="1:24" x14ac:dyDescent="0.25">
      <c r="D13" s="49" t="s">
        <v>46</v>
      </c>
      <c r="E13" s="49" t="s">
        <v>173</v>
      </c>
      <c r="G13" s="48" t="s">
        <v>78</v>
      </c>
      <c r="H13" s="48" t="s">
        <v>75</v>
      </c>
      <c r="W13" s="51" t="s">
        <v>149</v>
      </c>
      <c r="X13" s="50" t="s">
        <v>118</v>
      </c>
    </row>
    <row r="14" spans="1:24" x14ac:dyDescent="0.25">
      <c r="D14" s="49" t="s">
        <v>180</v>
      </c>
      <c r="E14" s="49" t="s">
        <v>174</v>
      </c>
      <c r="G14" s="48" t="s">
        <v>79</v>
      </c>
      <c r="H14" s="48" t="s">
        <v>75</v>
      </c>
      <c r="W14" s="55" t="s">
        <v>167</v>
      </c>
      <c r="X14" s="56" t="s">
        <v>118</v>
      </c>
    </row>
    <row r="15" spans="1:24" x14ac:dyDescent="0.25">
      <c r="D15" s="49" t="s">
        <v>47</v>
      </c>
      <c r="E15" s="49" t="s">
        <v>174</v>
      </c>
      <c r="G15" s="48" t="s">
        <v>80</v>
      </c>
      <c r="H15" s="48" t="s">
        <v>75</v>
      </c>
      <c r="W15" s="61" t="s">
        <v>168</v>
      </c>
      <c r="X15" s="62" t="s">
        <v>141</v>
      </c>
    </row>
    <row r="16" spans="1:24" x14ac:dyDescent="0.25">
      <c r="D16" s="49" t="s">
        <v>48</v>
      </c>
      <c r="E16" s="49" t="s">
        <v>174</v>
      </c>
      <c r="G16" s="48" t="s">
        <v>81</v>
      </c>
      <c r="H16" s="48" t="s">
        <v>75</v>
      </c>
    </row>
    <row r="17" spans="4:8" x14ac:dyDescent="0.25">
      <c r="D17" s="49" t="s">
        <v>236</v>
      </c>
      <c r="E17" s="49" t="s">
        <v>174</v>
      </c>
      <c r="G17" s="48" t="s">
        <v>82</v>
      </c>
      <c r="H17" s="48" t="s">
        <v>75</v>
      </c>
    </row>
    <row r="18" spans="4:8" x14ac:dyDescent="0.25">
      <c r="D18" s="49" t="s">
        <v>49</v>
      </c>
      <c r="E18" s="49" t="s">
        <v>174</v>
      </c>
      <c r="G18" s="48" t="s">
        <v>83</v>
      </c>
      <c r="H18" s="48" t="s">
        <v>75</v>
      </c>
    </row>
    <row r="19" spans="4:8" x14ac:dyDescent="0.25">
      <c r="G19" s="48" t="s">
        <v>84</v>
      </c>
      <c r="H19" s="48" t="s">
        <v>75</v>
      </c>
    </row>
    <row r="20" spans="4:8" x14ac:dyDescent="0.25">
      <c r="G20" s="48" t="s">
        <v>85</v>
      </c>
      <c r="H20" s="48" t="s">
        <v>75</v>
      </c>
    </row>
    <row r="21" spans="4:8" x14ac:dyDescent="0.25">
      <c r="G21" s="48" t="s">
        <v>86</v>
      </c>
      <c r="H21" s="48" t="s">
        <v>75</v>
      </c>
    </row>
    <row r="22" spans="4:8" x14ac:dyDescent="0.25">
      <c r="G22" s="48" t="s">
        <v>87</v>
      </c>
      <c r="H22" s="48" t="s">
        <v>75</v>
      </c>
    </row>
    <row r="23" spans="4:8" x14ac:dyDescent="0.25">
      <c r="G23" s="48" t="s">
        <v>88</v>
      </c>
      <c r="H23" s="48" t="s">
        <v>75</v>
      </c>
    </row>
    <row r="24" spans="4:8" x14ac:dyDescent="0.25">
      <c r="G24" s="48" t="s">
        <v>89</v>
      </c>
      <c r="H24" s="48" t="s">
        <v>61</v>
      </c>
    </row>
    <row r="25" spans="4:8" x14ac:dyDescent="0.25">
      <c r="G25" s="48" t="s">
        <v>90</v>
      </c>
      <c r="H25" s="48" t="s">
        <v>75</v>
      </c>
    </row>
    <row r="26" spans="4:8" x14ac:dyDescent="0.25">
      <c r="G26" s="48" t="s">
        <v>91</v>
      </c>
      <c r="H26" s="48" t="s">
        <v>75</v>
      </c>
    </row>
    <row r="27" spans="4:8" x14ac:dyDescent="0.25">
      <c r="G27" s="48" t="s">
        <v>92</v>
      </c>
      <c r="H27" s="48" t="s">
        <v>61</v>
      </c>
    </row>
    <row r="28" spans="4:8" x14ac:dyDescent="0.25">
      <c r="G28" s="48" t="s">
        <v>93</v>
      </c>
      <c r="H28" s="48" t="s">
        <v>75</v>
      </c>
    </row>
    <row r="29" spans="4:8" x14ac:dyDescent="0.25">
      <c r="G29" s="48" t="s">
        <v>94</v>
      </c>
      <c r="H29" s="48" t="s">
        <v>75</v>
      </c>
    </row>
    <row r="30" spans="4:8" x14ac:dyDescent="0.25">
      <c r="G30" s="48" t="s">
        <v>95</v>
      </c>
      <c r="H30" s="48" t="s">
        <v>75</v>
      </c>
    </row>
    <row r="31" spans="4:8" x14ac:dyDescent="0.25">
      <c r="G31" s="48" t="s">
        <v>96</v>
      </c>
      <c r="H31" s="48" t="s">
        <v>97</v>
      </c>
    </row>
    <row r="32" spans="4:8" x14ac:dyDescent="0.25">
      <c r="G32" s="48" t="s">
        <v>98</v>
      </c>
      <c r="H32" s="48" t="s">
        <v>99</v>
      </c>
    </row>
    <row r="33" spans="7:8" x14ac:dyDescent="0.25">
      <c r="G33" s="48" t="s">
        <v>100</v>
      </c>
      <c r="H33" s="48" t="s">
        <v>70</v>
      </c>
    </row>
    <row r="34" spans="7:8" x14ac:dyDescent="0.25">
      <c r="G34" s="48" t="s">
        <v>101</v>
      </c>
      <c r="H34" s="48" t="s">
        <v>102</v>
      </c>
    </row>
    <row r="35" spans="7:8" x14ac:dyDescent="0.25">
      <c r="G35" s="48" t="s">
        <v>103</v>
      </c>
      <c r="H35" s="48" t="s">
        <v>104</v>
      </c>
    </row>
    <row r="36" spans="7:8" x14ac:dyDescent="0.25">
      <c r="G36" s="48" t="s">
        <v>105</v>
      </c>
      <c r="H36" s="48" t="s">
        <v>106</v>
      </c>
    </row>
    <row r="37" spans="7:8" x14ac:dyDescent="0.25">
      <c r="G37" s="48" t="s">
        <v>107</v>
      </c>
      <c r="H37" s="48" t="s">
        <v>108</v>
      </c>
    </row>
    <row r="38" spans="7:8" x14ac:dyDescent="0.25">
      <c r="G38" s="48" t="s">
        <v>109</v>
      </c>
      <c r="H38" s="48" t="s">
        <v>59</v>
      </c>
    </row>
    <row r="39" spans="7:8" x14ac:dyDescent="0.25">
      <c r="G39" s="48" t="s">
        <v>110</v>
      </c>
      <c r="H39" s="48" t="s">
        <v>111</v>
      </c>
    </row>
    <row r="40" spans="7:8" x14ac:dyDescent="0.25">
      <c r="G40" s="48" t="s">
        <v>237</v>
      </c>
      <c r="H40" s="48" t="s">
        <v>134</v>
      </c>
    </row>
    <row r="41" spans="7:8" x14ac:dyDescent="0.25">
      <c r="G41" s="48" t="s">
        <v>112</v>
      </c>
      <c r="H41" s="48" t="s">
        <v>70</v>
      </c>
    </row>
    <row r="42" spans="7:8" x14ac:dyDescent="0.25">
      <c r="G42" s="48" t="s">
        <v>113</v>
      </c>
      <c r="H42" s="48" t="s">
        <v>114</v>
      </c>
    </row>
    <row r="43" spans="7:8" x14ac:dyDescent="0.25">
      <c r="G43" s="48" t="s">
        <v>115</v>
      </c>
      <c r="H43" s="48" t="s">
        <v>116</v>
      </c>
    </row>
    <row r="44" spans="7:8" x14ac:dyDescent="0.25">
      <c r="G44" s="48" t="s">
        <v>119</v>
      </c>
      <c r="H44" s="48" t="s">
        <v>120</v>
      </c>
    </row>
    <row r="45" spans="7:8" x14ac:dyDescent="0.25">
      <c r="G45" s="48" t="s">
        <v>121</v>
      </c>
      <c r="H45" s="48" t="s">
        <v>99</v>
      </c>
    </row>
    <row r="46" spans="7:8" x14ac:dyDescent="0.25">
      <c r="G46" s="48" t="s">
        <v>122</v>
      </c>
      <c r="H46" s="48" t="s">
        <v>57</v>
      </c>
    </row>
    <row r="47" spans="7:8" x14ac:dyDescent="0.25">
      <c r="G47" s="48" t="s">
        <v>123</v>
      </c>
      <c r="H47" s="48" t="s">
        <v>111</v>
      </c>
    </row>
    <row r="48" spans="7:8" x14ac:dyDescent="0.25">
      <c r="G48" s="48" t="s">
        <v>126</v>
      </c>
      <c r="H48" s="48" t="s">
        <v>99</v>
      </c>
    </row>
    <row r="49" spans="7:8" x14ac:dyDescent="0.25">
      <c r="G49" s="48" t="s">
        <v>127</v>
      </c>
      <c r="H49" s="48" t="s">
        <v>128</v>
      </c>
    </row>
    <row r="50" spans="7:8" x14ac:dyDescent="0.25">
      <c r="G50" s="48" t="s">
        <v>129</v>
      </c>
      <c r="H50" s="48" t="s">
        <v>111</v>
      </c>
    </row>
    <row r="51" spans="7:8" x14ac:dyDescent="0.25">
      <c r="G51" s="48" t="s">
        <v>130</v>
      </c>
      <c r="H51" s="48" t="s">
        <v>131</v>
      </c>
    </row>
    <row r="52" spans="7:8" x14ac:dyDescent="0.25">
      <c r="G52" s="48" t="s">
        <v>133</v>
      </c>
      <c r="H52" s="48" t="s">
        <v>134</v>
      </c>
    </row>
    <row r="53" spans="7:8" x14ac:dyDescent="0.25">
      <c r="G53" s="48" t="s">
        <v>135</v>
      </c>
      <c r="H53" s="48" t="s">
        <v>99</v>
      </c>
    </row>
    <row r="54" spans="7:8" x14ac:dyDescent="0.25">
      <c r="G54" s="48" t="s">
        <v>136</v>
      </c>
      <c r="H54" s="48" t="s">
        <v>59</v>
      </c>
    </row>
    <row r="55" spans="7:8" x14ac:dyDescent="0.25">
      <c r="G55" s="48" t="s">
        <v>257</v>
      </c>
      <c r="H55" s="48" t="s">
        <v>57</v>
      </c>
    </row>
    <row r="56" spans="7:8" x14ac:dyDescent="0.25">
      <c r="G56" s="48" t="s">
        <v>137</v>
      </c>
      <c r="H56" s="48" t="s">
        <v>138</v>
      </c>
    </row>
    <row r="57" spans="7:8" x14ac:dyDescent="0.25">
      <c r="G57" s="48" t="s">
        <v>139</v>
      </c>
      <c r="H57" s="48" t="s">
        <v>106</v>
      </c>
    </row>
    <row r="58" spans="7:8" x14ac:dyDescent="0.25">
      <c r="G58" s="48" t="s">
        <v>142</v>
      </c>
      <c r="H58" s="48" t="s">
        <v>59</v>
      </c>
    </row>
    <row r="59" spans="7:8" x14ac:dyDescent="0.25">
      <c r="G59" s="48" t="s">
        <v>143</v>
      </c>
      <c r="H59" s="48" t="s">
        <v>59</v>
      </c>
    </row>
    <row r="60" spans="7:8" x14ac:dyDescent="0.25">
      <c r="G60" s="48" t="s">
        <v>144</v>
      </c>
      <c r="H60" s="48" t="s">
        <v>59</v>
      </c>
    </row>
    <row r="61" spans="7:8" x14ac:dyDescent="0.25">
      <c r="G61" s="48" t="s">
        <v>146</v>
      </c>
      <c r="H61" s="48" t="s">
        <v>59</v>
      </c>
    </row>
    <row r="62" spans="7:8" x14ac:dyDescent="0.25">
      <c r="G62" s="48" t="s">
        <v>147</v>
      </c>
      <c r="H62" s="48" t="s">
        <v>61</v>
      </c>
    </row>
    <row r="63" spans="7:8" x14ac:dyDescent="0.25">
      <c r="G63" s="48" t="s">
        <v>148</v>
      </c>
      <c r="H63" s="48" t="s">
        <v>104</v>
      </c>
    </row>
    <row r="64" spans="7:8" x14ac:dyDescent="0.25">
      <c r="G64" s="48" t="s">
        <v>150</v>
      </c>
      <c r="H64" s="48" t="s">
        <v>151</v>
      </c>
    </row>
    <row r="65" spans="7:8" x14ac:dyDescent="0.25">
      <c r="G65" s="48" t="s">
        <v>152</v>
      </c>
      <c r="H65" s="48" t="s">
        <v>152</v>
      </c>
    </row>
    <row r="66" spans="7:8" x14ac:dyDescent="0.25">
      <c r="G66" s="48" t="s">
        <v>153</v>
      </c>
      <c r="H66" s="48" t="s">
        <v>55</v>
      </c>
    </row>
    <row r="67" spans="7:8" x14ac:dyDescent="0.25">
      <c r="G67" s="48" t="s">
        <v>154</v>
      </c>
      <c r="H67" s="48" t="s">
        <v>114</v>
      </c>
    </row>
    <row r="68" spans="7:8" x14ac:dyDescent="0.25">
      <c r="G68" s="48" t="s">
        <v>155</v>
      </c>
      <c r="H68" s="48" t="s">
        <v>114</v>
      </c>
    </row>
    <row r="69" spans="7:8" x14ac:dyDescent="0.25">
      <c r="G69" s="48" t="s">
        <v>156</v>
      </c>
      <c r="H69" s="48" t="s">
        <v>128</v>
      </c>
    </row>
    <row r="70" spans="7:8" x14ac:dyDescent="0.25">
      <c r="G70" s="48" t="s">
        <v>157</v>
      </c>
      <c r="H70" s="48" t="s">
        <v>106</v>
      </c>
    </row>
    <row r="71" spans="7:8" x14ac:dyDescent="0.25">
      <c r="G71" s="48" t="s">
        <v>158</v>
      </c>
      <c r="H71" s="48" t="s">
        <v>159</v>
      </c>
    </row>
    <row r="72" spans="7:8" x14ac:dyDescent="0.25">
      <c r="G72" s="48" t="s">
        <v>160</v>
      </c>
      <c r="H72" s="48" t="s">
        <v>134</v>
      </c>
    </row>
    <row r="73" spans="7:8" x14ac:dyDescent="0.25">
      <c r="G73" s="48" t="s">
        <v>161</v>
      </c>
      <c r="H73" s="48" t="s">
        <v>61</v>
      </c>
    </row>
    <row r="74" spans="7:8" x14ac:dyDescent="0.25">
      <c r="G74" s="48" t="s">
        <v>162</v>
      </c>
      <c r="H74" s="48" t="s">
        <v>163</v>
      </c>
    </row>
    <row r="75" spans="7:8" x14ac:dyDescent="0.25">
      <c r="G75" s="48" t="s">
        <v>164</v>
      </c>
      <c r="H75" s="48" t="s">
        <v>131</v>
      </c>
    </row>
    <row r="76" spans="7:8" x14ac:dyDescent="0.25">
      <c r="G76" s="48" t="s">
        <v>165</v>
      </c>
      <c r="H76" s="48" t="s">
        <v>57</v>
      </c>
    </row>
    <row r="77" spans="7:8" x14ac:dyDescent="0.25">
      <c r="G77" s="48" t="s">
        <v>166</v>
      </c>
      <c r="H77" s="48" t="s">
        <v>106</v>
      </c>
    </row>
  </sheetData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X18"/>
  <sheetViews>
    <sheetView showGridLines="0" topLeftCell="A4" zoomScaleNormal="100" workbookViewId="0">
      <selection activeCell="A5" sqref="A5:E5"/>
    </sheetView>
  </sheetViews>
  <sheetFormatPr defaultRowHeight="15" x14ac:dyDescent="0.25"/>
  <cols>
    <col min="1" max="1" width="10.85546875" bestFit="1" customWidth="1"/>
    <col min="2" max="2" width="12.5703125" customWidth="1"/>
    <col min="3" max="3" width="13.140625" customWidth="1"/>
    <col min="4" max="4" width="12.5703125" customWidth="1"/>
    <col min="5" max="5" width="13" customWidth="1"/>
    <col min="6" max="6" width="3.140625" customWidth="1"/>
    <col min="7" max="15" width="11.5703125" customWidth="1"/>
    <col min="16" max="16" width="14.28515625" customWidth="1"/>
    <col min="17" max="24" width="11.5703125" customWidth="1"/>
  </cols>
  <sheetData>
    <row r="5" spans="1:24" x14ac:dyDescent="0.25">
      <c r="A5" s="64" t="s">
        <v>255</v>
      </c>
      <c r="B5" s="69"/>
      <c r="C5" s="69"/>
      <c r="D5" s="69"/>
      <c r="E5" s="65"/>
      <c r="F5" s="63"/>
      <c r="G5" s="66" t="s">
        <v>242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</row>
    <row r="6" spans="1:24" ht="75" x14ac:dyDescent="0.25">
      <c r="A6" s="40" t="s">
        <v>188</v>
      </c>
      <c r="B6" s="41" t="s">
        <v>210</v>
      </c>
      <c r="C6" s="42" t="s">
        <v>217</v>
      </c>
      <c r="D6" s="42" t="s">
        <v>240</v>
      </c>
      <c r="E6" s="43" t="s">
        <v>241</v>
      </c>
      <c r="F6" s="10"/>
      <c r="G6" s="32" t="s">
        <v>188</v>
      </c>
      <c r="H6" s="36" t="s">
        <v>219</v>
      </c>
      <c r="I6" s="37" t="s">
        <v>35</v>
      </c>
      <c r="J6" s="37" t="s">
        <v>36</v>
      </c>
      <c r="K6" s="37" t="s">
        <v>209</v>
      </c>
      <c r="L6" s="37" t="s">
        <v>38</v>
      </c>
      <c r="M6" s="37" t="s">
        <v>39</v>
      </c>
      <c r="N6" s="37" t="s">
        <v>40</v>
      </c>
      <c r="O6" s="37" t="s">
        <v>41</v>
      </c>
      <c r="P6" s="37" t="s">
        <v>42</v>
      </c>
      <c r="Q6" s="37" t="s">
        <v>43</v>
      </c>
      <c r="R6" s="37" t="s">
        <v>44</v>
      </c>
      <c r="S6" s="37" t="s">
        <v>249</v>
      </c>
      <c r="T6" s="37" t="s">
        <v>46</v>
      </c>
      <c r="U6" s="37" t="s">
        <v>180</v>
      </c>
      <c r="V6" s="37" t="s">
        <v>47</v>
      </c>
      <c r="W6" s="37" t="s">
        <v>48</v>
      </c>
      <c r="X6" s="33" t="s">
        <v>49</v>
      </c>
    </row>
    <row r="7" spans="1:24" x14ac:dyDescent="0.25">
      <c r="A7" s="44" t="s">
        <v>211</v>
      </c>
      <c r="B7" s="35">
        <f>SUMIF(January!F3:F550,"&lt;&gt;Prophylaxis",January!AF3:AF550)</f>
        <v>0</v>
      </c>
      <c r="C7" s="30">
        <f>IFERROR(SUM(B7)/SUM(Calculations!B2)*1000,0)</f>
        <v>0</v>
      </c>
      <c r="D7" s="30">
        <f>SUMIF(January!F3:F550,"Prophylaxis",January!AF3:AF550)</f>
        <v>0</v>
      </c>
      <c r="E7" s="30">
        <f>IFERROR(SUM(D7)/SUM(Calculations!B2)*1000,0)</f>
        <v>0</v>
      </c>
      <c r="F7" s="11"/>
      <c r="G7" s="35" t="s">
        <v>189</v>
      </c>
      <c r="H7" s="34" t="str">
        <f>IFERROR(SUM(Calculations!F2)*1000/SUM(Calculations!B2),"")</f>
        <v/>
      </c>
      <c r="I7" s="34" t="str">
        <f>IFERROR(SUM(Calculations!G2)*1000/SUM(Calculations!B2),"")</f>
        <v/>
      </c>
      <c r="J7" s="34" t="str">
        <f>IFERROR(SUM(Calculations!H2)*1000/SUM(Calculations!B2),"")</f>
        <v/>
      </c>
      <c r="K7" s="34" t="str">
        <f>IFERROR(SUM(Calculations!I2)*1000/SUM(Calculations!B2),"")</f>
        <v/>
      </c>
      <c r="L7" s="34" t="str">
        <f>IFERROR(SUM(Calculations!J2)*1000/SUM(Calculations!B2),"")</f>
        <v/>
      </c>
      <c r="M7" s="34" t="str">
        <f>IFERROR(SUM(Calculations!K2)*1000/SUM(Calculations!B2),"")</f>
        <v/>
      </c>
      <c r="N7" s="34" t="str">
        <f>IFERROR(SUM(Calculations!L2)*1000/SUM(Calculations!B2),"")</f>
        <v/>
      </c>
      <c r="O7" s="34" t="str">
        <f>IFERROR(SUM(Calculations!M2)*1000/(Calculations!B2),"")</f>
        <v/>
      </c>
      <c r="P7" s="34" t="str">
        <f>IFERROR(SUM(Calculations!N2)*1000/SUM(Calculations!B2),"")</f>
        <v/>
      </c>
      <c r="Q7" s="34" t="str">
        <f>IFERROR(SUM(Calculations!O2)*1000/SUM(Calculations!B2),"")</f>
        <v/>
      </c>
      <c r="R7" s="34" t="str">
        <f>IFERROR(SUM(Calculations!P2)*1000/SUM(Calculations!B2),"")</f>
        <v/>
      </c>
      <c r="S7" s="34" t="str">
        <f>IFERROR(SUM(Calculations!Q2)*1000/SUM(Calculations!B2),"")</f>
        <v/>
      </c>
      <c r="T7" s="34" t="str">
        <f>IFERROR(SUM(Calculations!R2)*1000/SUM(Calculations!B2),"")</f>
        <v/>
      </c>
      <c r="U7" s="34" t="str">
        <f>IFERROR(SUM(Calculations!S2)*1000/SUM(Calculations!B2),"")</f>
        <v/>
      </c>
      <c r="V7" s="34" t="str">
        <f>IFERROR(SUM(Calculations!T2)*1000/SUM(Calculations!B2),"")</f>
        <v/>
      </c>
      <c r="W7" s="34" t="str">
        <f>IFERROR(SUM(Calculations!U2)*1000/SUM(Calculations!B2),"")</f>
        <v/>
      </c>
      <c r="X7" s="34" t="str">
        <f>IFERROR(SUM(Calculations!V2)*1000/SUM(Calculations!B2),"")</f>
        <v/>
      </c>
    </row>
    <row r="8" spans="1:24" x14ac:dyDescent="0.25">
      <c r="A8" s="5" t="s">
        <v>190</v>
      </c>
      <c r="B8" s="2">
        <f>SUMIF(February!F3:F550,"&lt;&gt;Prophylaxis",February!AF3:AF550)</f>
        <v>0</v>
      </c>
      <c r="C8" s="6">
        <f>IFERROR(SUM(B8)/SUM(Calculations!B3)*1000,0)</f>
        <v>0</v>
      </c>
      <c r="D8" s="6">
        <f>SUMIF(February!F3:F550,"Prophylaxis",February!AF3:AF550)</f>
        <v>0</v>
      </c>
      <c r="E8" s="6">
        <f>IFERROR(SUM(D8)/SUM(Calculations!B3)*1000,0)</f>
        <v>0</v>
      </c>
      <c r="F8" s="11"/>
      <c r="G8" s="2" t="s">
        <v>190</v>
      </c>
      <c r="H8" s="4" t="str">
        <f>IFERROR(SUM(Calculations!F3)*1000/SUM(Calculations!B3),"")</f>
        <v/>
      </c>
      <c r="I8" s="4" t="str">
        <f>IFERROR(SUM(Calculations!G3)*1000/SUM(Calculations!B3),"")</f>
        <v/>
      </c>
      <c r="J8" s="4" t="str">
        <f>IFERROR(SUM(Calculations!H3)*1000/SUM(Calculations!B3),"")</f>
        <v/>
      </c>
      <c r="K8" s="4" t="str">
        <f>IFERROR(SUM(Calculations!I3)*1000/SUM(Calculations!B3),"")</f>
        <v/>
      </c>
      <c r="L8" s="4" t="str">
        <f>IFERROR(SUM(Calculations!J3)*1000/SUM(Calculations!B3),"")</f>
        <v/>
      </c>
      <c r="M8" s="4" t="str">
        <f>IFERROR(SUM(Calculations!K3)*1000/SUM(Calculations!B3),"")</f>
        <v/>
      </c>
      <c r="N8" s="4" t="str">
        <f>IFERROR(SUM(Calculations!L3)*1000/SUM(Calculations!B3),"")</f>
        <v/>
      </c>
      <c r="O8" s="4" t="str">
        <f>IFERROR(SUM(Calculations!M3)*1000/(Calculations!B3),"")</f>
        <v/>
      </c>
      <c r="P8" s="4" t="str">
        <f>IFERROR(SUM(Calculations!N3)*1000/SUM(Calculations!B3),"")</f>
        <v/>
      </c>
      <c r="Q8" s="4" t="str">
        <f>IFERROR(SUM(Calculations!O3)*1000/SUM(Calculations!B3),"")</f>
        <v/>
      </c>
      <c r="R8" s="4" t="str">
        <f>IFERROR(SUM(Calculations!P3)*1000/SUM(Calculations!B3),"")</f>
        <v/>
      </c>
      <c r="S8" s="4" t="str">
        <f>IFERROR(SUM(Calculations!Q3)*1000/SUM(Calculations!B3),"")</f>
        <v/>
      </c>
      <c r="T8" s="4" t="str">
        <f>IFERROR(SUM(Calculations!R3)*1000/SUM(Calculations!B3),"")</f>
        <v/>
      </c>
      <c r="U8" s="4" t="str">
        <f>IFERROR(SUM(Calculations!S3)*1000/SUM(Calculations!B3),"")</f>
        <v/>
      </c>
      <c r="V8" s="4" t="str">
        <f>IFERROR(SUM(Calculations!T3)*1000/SUM(Calculations!B3),"")</f>
        <v/>
      </c>
      <c r="W8" s="4" t="str">
        <f>IFERROR(SUM(Calculations!U3)*1000/SUM(Calculations!B3),"")</f>
        <v/>
      </c>
      <c r="X8" s="4" t="str">
        <f>IFERROR(SUM(Calculations!V3)*1000/SUM(Calculations!B3),"")</f>
        <v/>
      </c>
    </row>
    <row r="9" spans="1:24" x14ac:dyDescent="0.25">
      <c r="A9" s="26" t="s">
        <v>191</v>
      </c>
      <c r="B9" s="28">
        <f>SUMIF(March!F3:F550,"&lt;&gt;Prophylaxis",March!AF3:AF550)</f>
        <v>0</v>
      </c>
      <c r="C9" s="29">
        <f>IFERROR(SUM(B9)/SUM(Calculations!B4)*1000,0)</f>
        <v>0</v>
      </c>
      <c r="D9" s="29">
        <f>SUMIF(March!F3:F550,"Prophylaxis",March!AF3:AF550)</f>
        <v>0</v>
      </c>
      <c r="E9" s="29">
        <f>IFERROR(SUM(D9)/SUM(Calculations!B4)*1000,0)</f>
        <v>0</v>
      </c>
      <c r="F9" s="11"/>
      <c r="G9" s="28" t="s">
        <v>191</v>
      </c>
      <c r="H9" s="31" t="str">
        <f>IFERROR(SUM(Calculations!F4)*1000/SUM(Calculations!B4),"")</f>
        <v/>
      </c>
      <c r="I9" s="31" t="str">
        <f>IFERROR(SUM(Calculations!G4)*1000/SUM(Calculations!B4),"")</f>
        <v/>
      </c>
      <c r="J9" s="31" t="str">
        <f>IFERROR(SUM(Calculations!H4)*1000/SUM(Calculations!B4),"")</f>
        <v/>
      </c>
      <c r="K9" s="31" t="str">
        <f>IFERROR(SUM(Calculations!I4)*1000/SUM(Calculations!B4),"")</f>
        <v/>
      </c>
      <c r="L9" s="31" t="str">
        <f>IFERROR(SUM(Calculations!J4)*1000/SUM(Calculations!B4),"")</f>
        <v/>
      </c>
      <c r="M9" s="31" t="str">
        <f>IFERROR(SUM(Calculations!K4)*1000/SUM(Calculations!B4),"")</f>
        <v/>
      </c>
      <c r="N9" s="31" t="str">
        <f>IFERROR(SUM(Calculations!L4)*1000/SUM(Calculations!B4),"")</f>
        <v/>
      </c>
      <c r="O9" s="31" t="str">
        <f>IFERROR(SUM(Calculations!M4)*1000/(Calculations!B4),"")</f>
        <v/>
      </c>
      <c r="P9" s="31" t="str">
        <f>IFERROR(SUM(Calculations!N4)*1000/SUM(Calculations!B4),"")</f>
        <v/>
      </c>
      <c r="Q9" s="31" t="str">
        <f>IFERROR(SUM(Calculations!O4)*1000/SUM(Calculations!B4),"")</f>
        <v/>
      </c>
      <c r="R9" s="31" t="str">
        <f>IFERROR(SUM(Calculations!P4)*1000/SUM(Calculations!B4),"")</f>
        <v/>
      </c>
      <c r="S9" s="31" t="str">
        <f>IFERROR(SUM(Calculations!Q4)*1000/SUM(Calculations!B4),"")</f>
        <v/>
      </c>
      <c r="T9" s="31" t="str">
        <f>IFERROR(SUM(Calculations!R4)*1000/SUM(Calculations!B4),"")</f>
        <v/>
      </c>
      <c r="U9" s="31" t="str">
        <f>IFERROR(SUM(Calculations!S4)*1000/SUM(Calculations!B4),"")</f>
        <v/>
      </c>
      <c r="V9" s="31" t="str">
        <f>IFERROR(SUM(Calculations!T4)*1000/SUM(Calculations!B4),"")</f>
        <v/>
      </c>
      <c r="W9" s="31" t="str">
        <f>IFERROR(SUM(Calculations!U4)*1000/SUM(Calculations!B4),"")</f>
        <v/>
      </c>
      <c r="X9" s="31" t="str">
        <f>IFERROR(SUM(Calculations!V4)*1000/SUM(Calculations!B4),"")</f>
        <v/>
      </c>
    </row>
    <row r="10" spans="1:24" x14ac:dyDescent="0.25">
      <c r="A10" s="5" t="s">
        <v>192</v>
      </c>
      <c r="B10" s="2">
        <f>SUMIF(April!F3:F550,"&lt;&gt;Prophylaxis",April!AF3:AF550)</f>
        <v>0</v>
      </c>
      <c r="C10" s="6">
        <f>IFERROR(SUM(B10)/SUM(Calculations!B5)*1000,0)</f>
        <v>0</v>
      </c>
      <c r="D10" s="6">
        <f>SUMIF(April!F3:F550,"Prophylaxis",April!AF3:AF550)</f>
        <v>0</v>
      </c>
      <c r="E10" s="6">
        <f>IFERROR(SUM(D10)/SUM(Calculations!B5)*1000,0)</f>
        <v>0</v>
      </c>
      <c r="F10" s="11"/>
      <c r="G10" s="2" t="s">
        <v>192</v>
      </c>
      <c r="H10" s="4" t="str">
        <f>IFERROR(SUM(Calculations!F5)*1000/SUM(Calculations!B5),"")</f>
        <v/>
      </c>
      <c r="I10" s="4" t="str">
        <f>IFERROR(SUM(Calculations!G5)*1000/SUM(Calculations!B5),"")</f>
        <v/>
      </c>
      <c r="J10" s="4" t="str">
        <f>IFERROR(SUM(Calculations!H5)*1000/SUM(Calculations!B5),"")</f>
        <v/>
      </c>
      <c r="K10" s="4" t="str">
        <f>IFERROR(SUM(Calculations!I5)*1000/SUM(Calculations!B5),"")</f>
        <v/>
      </c>
      <c r="L10" s="4" t="str">
        <f>IFERROR(SUM(Calculations!J5)*1000/SUM(Calculations!B5),"")</f>
        <v/>
      </c>
      <c r="M10" s="4" t="str">
        <f>IFERROR(SUM(Calculations!K5)*1000/SUM(Calculations!B5),"")</f>
        <v/>
      </c>
      <c r="N10" s="4" t="str">
        <f>IFERROR(SUM(Calculations!L5)*1000/SUM(Calculations!B5),"")</f>
        <v/>
      </c>
      <c r="O10" s="4" t="str">
        <f>IFERROR(SUM(Calculations!M5)*1000/(Calculations!B5),"")</f>
        <v/>
      </c>
      <c r="P10" s="4" t="str">
        <f>IFERROR(SUM(Calculations!N5)*1000/SUM(Calculations!B5),"")</f>
        <v/>
      </c>
      <c r="Q10" s="4" t="str">
        <f>IFERROR(SUM(Calculations!O5)*1000/SUM(Calculations!B5),"")</f>
        <v/>
      </c>
      <c r="R10" s="4" t="str">
        <f>IFERROR(SUM(Calculations!P5)*1000/SUM(Calculations!B5),"")</f>
        <v/>
      </c>
      <c r="S10" s="4" t="str">
        <f>IFERROR(SUM(Calculations!Q5)*1000/SUM(Calculations!B5),"")</f>
        <v/>
      </c>
      <c r="T10" s="4" t="str">
        <f>IFERROR(SUM(Calculations!R5)*1000/SUM(Calculations!B5),"")</f>
        <v/>
      </c>
      <c r="U10" s="4" t="str">
        <f>IFERROR(SUM(Calculations!S5)*1000/SUM(Calculations!B5),"")</f>
        <v/>
      </c>
      <c r="V10" s="4" t="str">
        <f>IFERROR(SUM(Calculations!T5)*1000/SUM(Calculations!B5),"")</f>
        <v/>
      </c>
      <c r="W10" s="4" t="str">
        <f>IFERROR(SUM(Calculations!U5)*1000/SUM(Calculations!B5),"")</f>
        <v/>
      </c>
      <c r="X10" s="4" t="str">
        <f>IFERROR(SUM(Calculations!V5)*1000/SUM(Calculations!B5),"")</f>
        <v/>
      </c>
    </row>
    <row r="11" spans="1:24" x14ac:dyDescent="0.25">
      <c r="A11" s="26" t="s">
        <v>193</v>
      </c>
      <c r="B11" s="28">
        <f>SUMIF(May!F3:F550,"&lt;&gt;Prophylaxis",May!AF3:AF550)</f>
        <v>0</v>
      </c>
      <c r="C11" s="29">
        <f>IFERROR(SUM(B11)/SUM(Calculations!B6)*1000,0)</f>
        <v>0</v>
      </c>
      <c r="D11" s="29">
        <f>SUMIF(May!F3:F550,"Prophylaxis",May!AF3:AF550)</f>
        <v>0</v>
      </c>
      <c r="E11" s="29">
        <f>IFERROR(SUM(D11)/SUM(Calculations!B6)*1000,0)</f>
        <v>0</v>
      </c>
      <c r="F11" s="11"/>
      <c r="G11" s="28" t="s">
        <v>193</v>
      </c>
      <c r="H11" s="31" t="str">
        <f>IFERROR(SUM(Calculations!F6)*1000/SUM(Calculations!B6),"")</f>
        <v/>
      </c>
      <c r="I11" s="31" t="str">
        <f>IFERROR(SUM(Calculations!G6)*1000/SUM(Calculations!B6),"")</f>
        <v/>
      </c>
      <c r="J11" s="31" t="str">
        <f>IFERROR(SUM(Calculations!H6)*1000/SUM(Calculations!B6),"")</f>
        <v/>
      </c>
      <c r="K11" s="31" t="str">
        <f>IFERROR(SUM(Calculations!I6)*1000/SUM(Calculations!B6),"")</f>
        <v/>
      </c>
      <c r="L11" s="31" t="str">
        <f>IFERROR(SUM(Calculations!J6)*1000/SUM(Calculations!B6),"")</f>
        <v/>
      </c>
      <c r="M11" s="31" t="str">
        <f>IFERROR(SUM(Calculations!K6)*1000/SUM(Calculations!B6),"")</f>
        <v/>
      </c>
      <c r="N11" s="31" t="str">
        <f>IFERROR(SUM(Calculations!L6)*1000/SUM(Calculations!B6),"")</f>
        <v/>
      </c>
      <c r="O11" s="31" t="str">
        <f>IFERROR(SUM(Calculations!M6)*1000/(Calculations!B6),"")</f>
        <v/>
      </c>
      <c r="P11" s="31" t="str">
        <f>IFERROR(SUM(Calculations!N6)*1000/SUM(Calculations!B6),"")</f>
        <v/>
      </c>
      <c r="Q11" s="31" t="str">
        <f>IFERROR(SUM(Calculations!O6)*1000/SUM(Calculations!B6),"")</f>
        <v/>
      </c>
      <c r="R11" s="31" t="str">
        <f>IFERROR(SUM(Calculations!P6)*1000/SUM(Calculations!B6),"")</f>
        <v/>
      </c>
      <c r="S11" s="31" t="str">
        <f>IFERROR(SUM(Calculations!Q6)*1000/SUM(Calculations!B6),"")</f>
        <v/>
      </c>
      <c r="T11" s="31" t="str">
        <f>IFERROR(SUM(Calculations!R6)*1000/SUM(Calculations!B6),"")</f>
        <v/>
      </c>
      <c r="U11" s="31" t="str">
        <f>IFERROR(SUM(Calculations!S6)*1000/SUM(Calculations!B6),"")</f>
        <v/>
      </c>
      <c r="V11" s="31" t="str">
        <f>IFERROR(SUM(Calculations!T6)*1000/SUM(Calculations!B6),"")</f>
        <v/>
      </c>
      <c r="W11" s="31" t="str">
        <f>IFERROR(SUM(Calculations!U6)*1000/SUM(Calculations!B6),"")</f>
        <v/>
      </c>
      <c r="X11" s="31" t="str">
        <f>IFERROR(SUM(Calculations!V6)*1000/SUM(Calculations!B6),"")</f>
        <v/>
      </c>
    </row>
    <row r="12" spans="1:24" x14ac:dyDescent="0.25">
      <c r="A12" s="5" t="s">
        <v>194</v>
      </c>
      <c r="B12" s="2">
        <f>SUMIF(June!F3:F550,"&lt;&gt;Prophylaxis",June!AF3:AF550)</f>
        <v>0</v>
      </c>
      <c r="C12" s="6">
        <f>IFERROR(SUM(B12)/SUM(Calculations!B7)*1000,0)</f>
        <v>0</v>
      </c>
      <c r="D12" s="6">
        <f>SUMIF(June!F3:F550,"Prophylaxis",June!AF3:AF550)</f>
        <v>0</v>
      </c>
      <c r="E12" s="6">
        <f>IFERROR(SUM(D12)/SUM(Calculations!B7)*1000,0)</f>
        <v>0</v>
      </c>
      <c r="F12" s="11"/>
      <c r="G12" s="2" t="s">
        <v>194</v>
      </c>
      <c r="H12" s="4" t="str">
        <f>IFERROR(SUM(Calculations!F7)*1000/SUM(Calculations!B7),"")</f>
        <v/>
      </c>
      <c r="I12" s="4" t="str">
        <f>IFERROR(SUM(Calculations!G7)*1000/SUM(Calculations!B7),"")</f>
        <v/>
      </c>
      <c r="J12" s="4" t="str">
        <f>IFERROR(SUM(Calculations!H7)*1000/SUM(Calculations!B7),"")</f>
        <v/>
      </c>
      <c r="K12" s="4" t="str">
        <f>IFERROR(SUM(Calculations!I7)*1000/SUM(Calculations!B7),"")</f>
        <v/>
      </c>
      <c r="L12" s="4" t="str">
        <f>IFERROR(SUM(Calculations!J7)*1000/SUM(Calculations!B7),"")</f>
        <v/>
      </c>
      <c r="M12" s="4" t="str">
        <f>IFERROR(SUM(Calculations!K7)*1000/SUM(Calculations!B7),"")</f>
        <v/>
      </c>
      <c r="N12" s="4" t="str">
        <f>IFERROR(SUM(Calculations!L7)*1000/SUM(Calculations!B7),"")</f>
        <v/>
      </c>
      <c r="O12" s="4" t="str">
        <f>IFERROR(SUM(Calculations!M7)*1000/(Calculations!B7),"")</f>
        <v/>
      </c>
      <c r="P12" s="4" t="str">
        <f>IFERROR(SUM(Calculations!N7)*1000/SUM(Calculations!B7),"")</f>
        <v/>
      </c>
      <c r="Q12" s="4" t="str">
        <f>IFERROR(SUM(Calculations!O7)*1000/SUM(Calculations!B7),"")</f>
        <v/>
      </c>
      <c r="R12" s="4" t="str">
        <f>IFERROR(SUM(Calculations!P7)*1000/SUM(Calculations!B7),"")</f>
        <v/>
      </c>
      <c r="S12" s="4" t="str">
        <f>IFERROR(SUM(Calculations!Q7)*1000/SUM(Calculations!B7),"")</f>
        <v/>
      </c>
      <c r="T12" s="4" t="str">
        <f>IFERROR(SUM(Calculations!R7)*1000/SUM(Calculations!B7),"")</f>
        <v/>
      </c>
      <c r="U12" s="4" t="str">
        <f>IFERROR(SUM(Calculations!S7)*1000/SUM(Calculations!B7),"")</f>
        <v/>
      </c>
      <c r="V12" s="4" t="str">
        <f>IFERROR(SUM(Calculations!T7)*1000/SUM(Calculations!B7),"")</f>
        <v/>
      </c>
      <c r="W12" s="4" t="str">
        <f>IFERROR(SUM(Calculations!U7)*1000/SUM(Calculations!B7),"")</f>
        <v/>
      </c>
      <c r="X12" s="4" t="str">
        <f>IFERROR(SUM(Calculations!V7)*1000/SUM(Calculations!B7),"")</f>
        <v/>
      </c>
    </row>
    <row r="13" spans="1:24" x14ac:dyDescent="0.25">
      <c r="A13" s="26" t="s">
        <v>195</v>
      </c>
      <c r="B13" s="28">
        <f>SUMIF(July!F3:F550,"&lt;&gt;Prophylaxis",July!AF3:AF550)</f>
        <v>0</v>
      </c>
      <c r="C13" s="29">
        <f>IFERROR(SUM(B13)/SUM(Calculations!B8)*1000,0)</f>
        <v>0</v>
      </c>
      <c r="D13" s="29">
        <f>SUMIF(July!F3:F550,"Prophylaxis",July!AF3:AF550)</f>
        <v>0</v>
      </c>
      <c r="E13" s="29">
        <f>IFERROR(SUM(D13)/SUM(Calculations!B8)*1000,0)</f>
        <v>0</v>
      </c>
      <c r="F13" s="11"/>
      <c r="G13" s="28" t="s">
        <v>195</v>
      </c>
      <c r="H13" s="31" t="str">
        <f>IFERROR(SUM(Calculations!F8)*1000/SUM(Calculations!B8),"")</f>
        <v/>
      </c>
      <c r="I13" s="31" t="str">
        <f>IFERROR(SUM(Calculations!G8)*1000/SUM(Calculations!B8),"")</f>
        <v/>
      </c>
      <c r="J13" s="31" t="str">
        <f>IFERROR(SUM(Calculations!H8)*1000/SUM(Calculations!B8),"")</f>
        <v/>
      </c>
      <c r="K13" s="31" t="str">
        <f>IFERROR(SUM(Calculations!I8)*1000/SUM(Calculations!B8),"")</f>
        <v/>
      </c>
      <c r="L13" s="31" t="str">
        <f>IFERROR(SUM(Calculations!J8)*1000/SUM(Calculations!B8),"")</f>
        <v/>
      </c>
      <c r="M13" s="31" t="str">
        <f>IFERROR(SUM(Calculations!K8)*1000/SUM(Calculations!B8),"")</f>
        <v/>
      </c>
      <c r="N13" s="31" t="str">
        <f>IFERROR(SUM(Calculations!L8)*1000/SUM(Calculations!B8),"")</f>
        <v/>
      </c>
      <c r="O13" s="31" t="str">
        <f>IFERROR(SUM(Calculations!M8)*1000/(Calculations!B8),"")</f>
        <v/>
      </c>
      <c r="P13" s="31" t="str">
        <f>IFERROR(SUM(Calculations!N8)*1000/SUM(Calculations!B8),"")</f>
        <v/>
      </c>
      <c r="Q13" s="31" t="str">
        <f>IFERROR(SUM(Calculations!O8)*1000/SUM(Calculations!B8),"")</f>
        <v/>
      </c>
      <c r="R13" s="31" t="str">
        <f>IFERROR(SUM(Calculations!P8)*1000/SUM(Calculations!B8),"")</f>
        <v/>
      </c>
      <c r="S13" s="31" t="str">
        <f>IFERROR(SUM(Calculations!Q8)*1000/SUM(Calculations!B8),"")</f>
        <v/>
      </c>
      <c r="T13" s="31" t="str">
        <f>IFERROR(SUM(Calculations!R8)*1000/SUM(Calculations!B8),"")</f>
        <v/>
      </c>
      <c r="U13" s="31" t="str">
        <f>IFERROR(SUM(Calculations!S8)*1000/SUM(Calculations!B8),"")</f>
        <v/>
      </c>
      <c r="V13" s="31" t="str">
        <f>IFERROR(SUM(Calculations!T8)*1000/SUM(Calculations!B8),"")</f>
        <v/>
      </c>
      <c r="W13" s="31" t="str">
        <f>IFERROR(SUM(Calculations!U8)*1000/SUM(Calculations!B8),"")</f>
        <v/>
      </c>
      <c r="X13" s="31" t="str">
        <f>IFERROR(SUM(Calculations!V8)*1000/SUM(Calculations!B8),"")</f>
        <v/>
      </c>
    </row>
    <row r="14" spans="1:24" x14ac:dyDescent="0.25">
      <c r="A14" s="5" t="s">
        <v>196</v>
      </c>
      <c r="B14" s="2">
        <f>SUMIF(August!F3:F550,"&lt;&gt;Prophylaxis",August!AF3:AF550)</f>
        <v>0</v>
      </c>
      <c r="C14" s="6">
        <f>IFERROR(SUM(B14)/SUM(Calculations!B9)*1000,0)</f>
        <v>0</v>
      </c>
      <c r="D14" s="6">
        <f>SUMIF(August!F3:F550,"Prophylaxis",August!AF3:AF550)</f>
        <v>0</v>
      </c>
      <c r="E14" s="6">
        <f>IFERROR(SUM(D14)/SUM(Calculations!B9)*1000,0)</f>
        <v>0</v>
      </c>
      <c r="F14" s="11"/>
      <c r="G14" s="2" t="s">
        <v>196</v>
      </c>
      <c r="H14" s="4" t="str">
        <f>IFERROR(SUM(Calculations!F9)*1000/SUM(Calculations!B9),"")</f>
        <v/>
      </c>
      <c r="I14" s="4" t="str">
        <f>IFERROR(SUM(Calculations!G9)*1000/SUM(Calculations!B9),"")</f>
        <v/>
      </c>
      <c r="J14" s="4" t="str">
        <f>IFERROR(SUM(Calculations!H9)*1000/SUM(Calculations!B9),"")</f>
        <v/>
      </c>
      <c r="K14" s="4" t="str">
        <f>IFERROR(SUM(Calculations!I9)*1000/SUM(Calculations!B9),"")</f>
        <v/>
      </c>
      <c r="L14" s="4" t="str">
        <f>IFERROR(SUM(Calculations!J9)*1000/SUM(Calculations!B9),"")</f>
        <v/>
      </c>
      <c r="M14" s="4" t="str">
        <f>IFERROR(SUM(Calculations!K9)*1000/SUM(Calculations!B9),"")</f>
        <v/>
      </c>
      <c r="N14" s="4" t="str">
        <f>IFERROR(SUM(Calculations!L9)*1000/SUM(Calculations!B9),"")</f>
        <v/>
      </c>
      <c r="O14" s="4" t="str">
        <f>IFERROR(SUM(Calculations!M9)*1000/(Calculations!B9),"")</f>
        <v/>
      </c>
      <c r="P14" s="4" t="str">
        <f>IFERROR(SUM(Calculations!N9)*1000/SUM(Calculations!B9),"")</f>
        <v/>
      </c>
      <c r="Q14" s="4" t="str">
        <f>IFERROR(SUM(Calculations!O9)*1000/SUM(Calculations!B9),"")</f>
        <v/>
      </c>
      <c r="R14" s="4" t="str">
        <f>IFERROR(SUM(Calculations!P9)*1000/SUM(Calculations!B9),"")</f>
        <v/>
      </c>
      <c r="S14" s="4" t="str">
        <f>IFERROR(SUM(Calculations!Q9)*1000/SUM(Calculations!B9),"")</f>
        <v/>
      </c>
      <c r="T14" s="4" t="str">
        <f>IFERROR(SUM(Calculations!R9)*1000/SUM(Calculations!B9),"")</f>
        <v/>
      </c>
      <c r="U14" s="4" t="str">
        <f>IFERROR(SUM(Calculations!S9)*1000/SUM(Calculations!B9),"")</f>
        <v/>
      </c>
      <c r="V14" s="4" t="str">
        <f>IFERROR(SUM(Calculations!T9)*1000/SUM(Calculations!B9),"")</f>
        <v/>
      </c>
      <c r="W14" s="4" t="str">
        <f>IFERROR(SUM(Calculations!U9)*1000/SUM(Calculations!B9),"")</f>
        <v/>
      </c>
      <c r="X14" s="4" t="str">
        <f>IFERROR(SUM(Calculations!V9)*1000/SUM(Calculations!B9),"")</f>
        <v/>
      </c>
    </row>
    <row r="15" spans="1:24" x14ac:dyDescent="0.25">
      <c r="A15" s="26" t="s">
        <v>197</v>
      </c>
      <c r="B15" s="28">
        <f>SUMIF(September!F3:F550,"&lt;&gt;Prophylaxis",September!AF3:AF550)</f>
        <v>0</v>
      </c>
      <c r="C15" s="29">
        <f>IFERROR(SUM(B15)/SUM(Calculations!B10)*1000,0)</f>
        <v>0</v>
      </c>
      <c r="D15" s="29">
        <f>SUMIF(September!F3:F550,"Prophylaxis",September!AF3:AF550)</f>
        <v>0</v>
      </c>
      <c r="E15" s="29">
        <f>IFERROR(SUM(D15)/SUM(Calculations!B10)*1000,0)</f>
        <v>0</v>
      </c>
      <c r="F15" s="11"/>
      <c r="G15" s="28" t="s">
        <v>197</v>
      </c>
      <c r="H15" s="31" t="str">
        <f>IFERROR(SUM(Calculations!F10)*1000/SUM(Calculations!B10),"")</f>
        <v/>
      </c>
      <c r="I15" s="31" t="str">
        <f>IFERROR(SUM(Calculations!G10)*1000/SUM(Calculations!B10),"")</f>
        <v/>
      </c>
      <c r="J15" s="31" t="str">
        <f>IFERROR(SUM(Calculations!H10)*1000/SUM(Calculations!B10),"")</f>
        <v/>
      </c>
      <c r="K15" s="31" t="str">
        <f>IFERROR(SUM(Calculations!I10)*1000/SUM(Calculations!B10),"")</f>
        <v/>
      </c>
      <c r="L15" s="31" t="str">
        <f>IFERROR(SUM(Calculations!J10)*1000/SUM(Calculations!B10),"")</f>
        <v/>
      </c>
      <c r="M15" s="31" t="str">
        <f>IFERROR(SUM(Calculations!K10)*1000/SUM(Calculations!B10),"")</f>
        <v/>
      </c>
      <c r="N15" s="31" t="str">
        <f>IFERROR(SUM(Calculations!L10)*1000/SUM(Calculations!B10),"")</f>
        <v/>
      </c>
      <c r="O15" s="31" t="str">
        <f>IFERROR(SUM(Calculations!M10)*1000/(Calculations!B10),"")</f>
        <v/>
      </c>
      <c r="P15" s="31" t="str">
        <f>IFERROR(SUM(Calculations!N10)*1000/SUM(Calculations!B10),"")</f>
        <v/>
      </c>
      <c r="Q15" s="31" t="str">
        <f>IFERROR(SUM(Calculations!O10)*1000/SUM(Calculations!B10),"")</f>
        <v/>
      </c>
      <c r="R15" s="31" t="str">
        <f>IFERROR(SUM(Calculations!P10)*1000/SUM(Calculations!B10),"")</f>
        <v/>
      </c>
      <c r="S15" s="31" t="str">
        <f>IFERROR(SUM(Calculations!Q10)*1000/SUM(Calculations!B10),"")</f>
        <v/>
      </c>
      <c r="T15" s="31" t="str">
        <f>IFERROR(SUM(Calculations!R10)*1000/SUM(Calculations!B10),"")</f>
        <v/>
      </c>
      <c r="U15" s="31" t="str">
        <f>IFERROR(SUM(Calculations!S10)*1000/SUM(Calculations!B10),"")</f>
        <v/>
      </c>
      <c r="V15" s="31" t="str">
        <f>IFERROR(SUM(Calculations!T10)*1000/SUM(Calculations!B10),"")</f>
        <v/>
      </c>
      <c r="W15" s="31" t="str">
        <f>IFERROR(SUM(Calculations!U10)*1000/SUM(Calculations!B10),"")</f>
        <v/>
      </c>
      <c r="X15" s="31" t="str">
        <f>IFERROR(SUM(Calculations!V10)*1000/SUM(Calculations!B10),"")</f>
        <v/>
      </c>
    </row>
    <row r="16" spans="1:24" x14ac:dyDescent="0.25">
      <c r="A16" s="5" t="s">
        <v>198</v>
      </c>
      <c r="B16" s="2">
        <f>SUMIF(October!F3:F550,"&lt;&gt;Prophylaxis",October!AF3:AF550)</f>
        <v>0</v>
      </c>
      <c r="C16" s="6">
        <f>IFERROR(SUM(B16)/SUM(Calculations!B11)*1000,0)</f>
        <v>0</v>
      </c>
      <c r="D16" s="6">
        <f>SUMIF(October!F3:F550,"Prophylaxis",October!AF3:AF550)</f>
        <v>0</v>
      </c>
      <c r="E16" s="6">
        <f>IFERROR(SUM(D16)/SUM(Calculations!B11)*1000,0)</f>
        <v>0</v>
      </c>
      <c r="F16" s="11"/>
      <c r="G16" s="2" t="s">
        <v>198</v>
      </c>
      <c r="H16" s="4" t="str">
        <f>IFERROR(SUM(Calculations!F11)*1000/SUM(Calculations!B11),"")</f>
        <v/>
      </c>
      <c r="I16" s="4" t="str">
        <f>IFERROR(SUM(Calculations!G11)*1000/SUM(Calculations!B11),"")</f>
        <v/>
      </c>
      <c r="J16" s="4" t="str">
        <f>IFERROR(SUM(Calculations!H11)*1000/SUM(Calculations!B11),"")</f>
        <v/>
      </c>
      <c r="K16" s="4" t="str">
        <f>IFERROR(SUM(Calculations!I11)*1000/SUM(Calculations!B11),"")</f>
        <v/>
      </c>
      <c r="L16" s="4" t="str">
        <f>IFERROR(SUM(Calculations!J11)*1000/SUM(Calculations!B11),"")</f>
        <v/>
      </c>
      <c r="M16" s="4" t="str">
        <f>IFERROR(SUM(Calculations!K11)*1000/SUM(Calculations!B11),"")</f>
        <v/>
      </c>
      <c r="N16" s="4" t="str">
        <f>IFERROR(SUM(Calculations!L11)*1000/SUM(Calculations!B11),"")</f>
        <v/>
      </c>
      <c r="O16" s="4" t="str">
        <f>IFERROR(SUM(Calculations!M11)*1000/(Calculations!B11),"")</f>
        <v/>
      </c>
      <c r="P16" s="4" t="str">
        <f>IFERROR(SUM(Calculations!N11)*1000/SUM(Calculations!B11),"")</f>
        <v/>
      </c>
      <c r="Q16" s="4" t="str">
        <f>IFERROR(SUM(Calculations!O11)*1000/SUM(Calculations!B11),"")</f>
        <v/>
      </c>
      <c r="R16" s="4" t="str">
        <f>IFERROR(SUM(Calculations!P11)*1000/SUM(Calculations!B11),"")</f>
        <v/>
      </c>
      <c r="S16" s="4" t="str">
        <f>IFERROR(SUM(Calculations!Q11)*1000/SUM(Calculations!B11),"")</f>
        <v/>
      </c>
      <c r="T16" s="4" t="str">
        <f>IFERROR(SUM(Calculations!R11)*1000/SUM(Calculations!B11),"")</f>
        <v/>
      </c>
      <c r="U16" s="4" t="str">
        <f>IFERROR(SUM(Calculations!S11)*1000/SUM(Calculations!B11),"")</f>
        <v/>
      </c>
      <c r="V16" s="4" t="str">
        <f>IFERROR(SUM(Calculations!T11)*1000/SUM(Calculations!B11),"")</f>
        <v/>
      </c>
      <c r="W16" s="4" t="str">
        <f>IFERROR(SUM(Calculations!U11)*1000/SUM(Calculations!B11),"")</f>
        <v/>
      </c>
      <c r="X16" s="4" t="str">
        <f>IFERROR(SUM(Calculations!V11)*1000/SUM(Calculations!B11),"")</f>
        <v/>
      </c>
    </row>
    <row r="17" spans="1:24" x14ac:dyDescent="0.25">
      <c r="A17" s="26" t="s">
        <v>199</v>
      </c>
      <c r="B17" s="28">
        <f>SUMIF(November!F3:F550,"&lt;&gt;Prophylaxis",November!AF3:AF550)</f>
        <v>0</v>
      </c>
      <c r="C17" s="29">
        <f>IFERROR(SUM(B17)/SUM(Calculations!B12)*1000,0)</f>
        <v>0</v>
      </c>
      <c r="D17" s="29">
        <f>SUMIF(November!F3:F550,"Prophylaxis",November!AF3:AF550)</f>
        <v>0</v>
      </c>
      <c r="E17" s="29">
        <f>IFERROR(SUM(D17)/SUM(Calculations!B12)*1000,0)</f>
        <v>0</v>
      </c>
      <c r="F17" s="11"/>
      <c r="G17" s="28" t="s">
        <v>199</v>
      </c>
      <c r="H17" s="31" t="str">
        <f>IFERROR(SUM(Calculations!F12)*1000/SUM(Calculations!B12),"")</f>
        <v/>
      </c>
      <c r="I17" s="31" t="str">
        <f>IFERROR(SUM(Calculations!G12)*1000/SUM(Calculations!B12),"")</f>
        <v/>
      </c>
      <c r="J17" s="31" t="str">
        <f>IFERROR(SUM(Calculations!H12)*1000/SUM(Calculations!B12),"")</f>
        <v/>
      </c>
      <c r="K17" s="31" t="str">
        <f>IFERROR(SUM(Calculations!I12)*1000/SUM(Calculations!B12),"")</f>
        <v/>
      </c>
      <c r="L17" s="31" t="str">
        <f>IFERROR(SUM(Calculations!J12)*1000/SUM(Calculations!B12),"")</f>
        <v/>
      </c>
      <c r="M17" s="31" t="str">
        <f>IFERROR(SUM(Calculations!K12)*1000/SUM(Calculations!B12),"")</f>
        <v/>
      </c>
      <c r="N17" s="31" t="str">
        <f>IFERROR(SUM(Calculations!L12)*1000/SUM(Calculations!B12),"")</f>
        <v/>
      </c>
      <c r="O17" s="31" t="str">
        <f>IFERROR(SUM(Calculations!M12)*1000/(Calculations!B12),"")</f>
        <v/>
      </c>
      <c r="P17" s="31" t="str">
        <f>IFERROR(SUM(Calculations!N12)*1000/SUM(Calculations!B12),"")</f>
        <v/>
      </c>
      <c r="Q17" s="31" t="str">
        <f>IFERROR(SUM(Calculations!O12)*1000/SUM(Calculations!B12),"")</f>
        <v/>
      </c>
      <c r="R17" s="31" t="str">
        <f>IFERROR(SUM(Calculations!P12)*1000/SUM(Calculations!B12),"")</f>
        <v/>
      </c>
      <c r="S17" s="31" t="str">
        <f>IFERROR(SUM(Calculations!Q12)*1000/SUM(Calculations!B12),"")</f>
        <v/>
      </c>
      <c r="T17" s="31" t="str">
        <f>IFERROR(SUM(Calculations!R12)*1000/SUM(Calculations!B12),"")</f>
        <v/>
      </c>
      <c r="U17" s="31" t="str">
        <f>IFERROR(SUM(Calculations!S12)*1000/SUM(Calculations!B12),"")</f>
        <v/>
      </c>
      <c r="V17" s="31" t="str">
        <f>IFERROR(SUM(Calculations!T12)*1000/SUM(Calculations!B12),"")</f>
        <v/>
      </c>
      <c r="W17" s="31" t="str">
        <f>IFERROR(SUM(Calculations!U12)*1000/SUM(Calculations!B12),"")</f>
        <v/>
      </c>
      <c r="X17" s="31" t="str">
        <f>IFERROR(SUM(Calculations!V12)*1000/SUM(Calculations!B12),"")</f>
        <v/>
      </c>
    </row>
    <row r="18" spans="1:24" x14ac:dyDescent="0.25">
      <c r="A18" s="7" t="s">
        <v>200</v>
      </c>
      <c r="B18" s="8">
        <f>SUMIF(December!F3:F550,"&lt;&gt;Prophylaxis",December!AF3:AF550)</f>
        <v>0</v>
      </c>
      <c r="C18" s="9">
        <f>IFERROR(SUM(B18)/SUM(Calculations!B13)*1000,0)</f>
        <v>0</v>
      </c>
      <c r="D18" s="9">
        <f>SUMIF(December!F3:F550,"Prophylaxis",December!AF3:AF550)</f>
        <v>0</v>
      </c>
      <c r="E18" s="9">
        <f>IFERROR(SUM(D18)/SUM(Calculations!B13)*1000,0)</f>
        <v>0</v>
      </c>
      <c r="F18" s="11"/>
      <c r="G18" s="2" t="s">
        <v>200</v>
      </c>
      <c r="H18" s="4" t="str">
        <f>IFERROR(SUM(Calculations!F13)*1000/SUM(Calculations!B13),"")</f>
        <v/>
      </c>
      <c r="I18" s="4" t="str">
        <f>IFERROR(SUM(Calculations!G13)*1000/SUM(Calculations!B13),"")</f>
        <v/>
      </c>
      <c r="J18" s="4" t="str">
        <f>IFERROR(SUM(Calculations!H13)*1000/SUM(Calculations!B13),"")</f>
        <v/>
      </c>
      <c r="K18" s="4" t="str">
        <f>IFERROR(SUM(Calculations!I13)*1000/SUM(Calculations!B13),"")</f>
        <v/>
      </c>
      <c r="L18" s="4" t="str">
        <f>IFERROR(SUM(Calculations!J13)*1000/SUM(Calculations!B13),"")</f>
        <v/>
      </c>
      <c r="M18" s="4" t="str">
        <f>IFERROR(SUM(Calculations!K13)*1000/SUM(Calculations!B13),"")</f>
        <v/>
      </c>
      <c r="N18" s="4" t="str">
        <f>IFERROR(SUM(Calculations!L13)*1000/SUM(Calculations!B13),"")</f>
        <v/>
      </c>
      <c r="O18" s="4" t="str">
        <f>IFERROR(SUM(Calculations!M13)*1000/(Calculations!B13),"")</f>
        <v/>
      </c>
      <c r="P18" s="4" t="str">
        <f>IFERROR(SUM(Calculations!N13)*1000/SUM(Calculations!B13),"")</f>
        <v/>
      </c>
      <c r="Q18" s="4" t="str">
        <f>IFERROR(SUM(Calculations!O13)*1000/SUM(Calculations!B13),"")</f>
        <v/>
      </c>
      <c r="R18" s="4" t="str">
        <f>IFERROR(SUM(Calculations!P13)*1000/SUM(Calculations!B13),"")</f>
        <v/>
      </c>
      <c r="S18" s="4" t="str">
        <f>IFERROR(SUM(Calculations!Q13)*1000/SUM(Calculations!B13),"")</f>
        <v/>
      </c>
      <c r="T18" s="4" t="str">
        <f>IFERROR(SUM(Calculations!R13)*1000/SUM(Calculations!B13),"")</f>
        <v/>
      </c>
      <c r="U18" s="4" t="str">
        <f>IFERROR(SUM(Calculations!S13)*1000/SUM(Calculations!B13),"")</f>
        <v/>
      </c>
      <c r="V18" s="4" t="str">
        <f>IFERROR(SUM(Calculations!T13)*1000/SUM(Calculations!B13),"")</f>
        <v/>
      </c>
      <c r="W18" s="4" t="str">
        <f>IFERROR(SUM(Calculations!U13)*1000/SUM(Calculations!B13),"")</f>
        <v/>
      </c>
      <c r="X18" s="4" t="str">
        <f>IFERROR(SUM(Calculations!V13)*1000/SUM(Calculations!B13),"")</f>
        <v/>
      </c>
    </row>
  </sheetData>
  <mergeCells count="2">
    <mergeCell ref="G5:X5"/>
    <mergeCell ref="A5:E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5"/>
  <sheetViews>
    <sheetView workbookViewId="0">
      <selection activeCell="B12" sqref="B12"/>
    </sheetView>
  </sheetViews>
  <sheetFormatPr defaultRowHeight="15" x14ac:dyDescent="0.25"/>
  <cols>
    <col min="1" max="1" width="13.5703125" bestFit="1" customWidth="1"/>
    <col min="5" max="5" width="13.85546875" bestFit="1" customWidth="1"/>
    <col min="6" max="6" width="13.85546875" customWidth="1"/>
    <col min="7" max="7" width="13.85546875" bestFit="1" customWidth="1"/>
    <col min="8" max="8" width="10.85546875" bestFit="1" customWidth="1"/>
    <col min="9" max="9" width="19.7109375" bestFit="1" customWidth="1"/>
    <col min="10" max="10" width="11.140625" bestFit="1" customWidth="1"/>
    <col min="11" max="12" width="16.5703125" bestFit="1" customWidth="1"/>
    <col min="13" max="13" width="6.28515625" customWidth="1"/>
    <col min="14" max="14" width="14.42578125" bestFit="1" customWidth="1"/>
    <col min="16" max="16" width="18.85546875" bestFit="1" customWidth="1"/>
    <col min="17" max="17" width="27.140625" bestFit="1" customWidth="1"/>
    <col min="26" max="26" width="10.85546875" bestFit="1" customWidth="1"/>
    <col min="27" max="27" width="10.85546875" customWidth="1"/>
    <col min="28" max="28" width="7.5703125" customWidth="1"/>
    <col min="31" max="31" width="21.42578125" bestFit="1" customWidth="1"/>
    <col min="35" max="35" width="21.42578125" bestFit="1" customWidth="1"/>
    <col min="36" max="36" width="9.85546875" customWidth="1"/>
    <col min="37" max="37" width="11" customWidth="1"/>
    <col min="43" max="43" width="9.28515625" customWidth="1"/>
    <col min="44" max="44" width="13" customWidth="1"/>
    <col min="45" max="45" width="10.28515625" customWidth="1"/>
    <col min="46" max="46" width="12.5703125" customWidth="1"/>
    <col min="47" max="47" width="12.28515625" customWidth="1"/>
    <col min="50" max="50" width="33.85546875" bestFit="1" customWidth="1"/>
    <col min="51" max="51" width="13.7109375" customWidth="1"/>
    <col min="52" max="52" width="25.85546875" bestFit="1" customWidth="1"/>
    <col min="53" max="53" width="33.85546875" bestFit="1" customWidth="1"/>
    <col min="56" max="56" width="21.7109375" bestFit="1" customWidth="1"/>
    <col min="67" max="67" width="10.42578125" bestFit="1" customWidth="1"/>
    <col min="68" max="68" width="10.140625" bestFit="1" customWidth="1"/>
    <col min="71" max="71" width="27" bestFit="1" customWidth="1"/>
    <col min="72" max="72" width="16.140625" bestFit="1" customWidth="1"/>
    <col min="73" max="73" width="41" bestFit="1" customWidth="1"/>
    <col min="74" max="74" width="14.28515625" customWidth="1"/>
    <col min="75" max="75" width="14.85546875" bestFit="1" customWidth="1"/>
    <col min="76" max="76" width="16.85546875" bestFit="1" customWidth="1"/>
    <col min="77" max="77" width="24" bestFit="1" customWidth="1"/>
    <col min="78" max="78" width="12" bestFit="1" customWidth="1"/>
    <col min="79" max="79" width="13.85546875" bestFit="1" customWidth="1"/>
    <col min="81" max="81" width="12.85546875" bestFit="1" customWidth="1"/>
    <col min="82" max="82" width="12.5703125" bestFit="1" customWidth="1"/>
    <col min="83" max="83" width="23.85546875" bestFit="1" customWidth="1"/>
    <col min="84" max="84" width="11.140625" bestFit="1" customWidth="1"/>
    <col min="85" max="85" width="11.28515625" customWidth="1"/>
    <col min="86" max="86" width="13.5703125" bestFit="1" customWidth="1"/>
    <col min="87" max="87" width="11.140625" bestFit="1" customWidth="1"/>
    <col min="88" max="88" width="15.28515625" bestFit="1" customWidth="1"/>
    <col min="89" max="89" width="14.85546875" bestFit="1" customWidth="1"/>
    <col min="90" max="90" width="10.140625" bestFit="1" customWidth="1"/>
    <col min="91" max="91" width="9.5703125" bestFit="1" customWidth="1"/>
    <col min="92" max="92" width="11.140625" bestFit="1" customWidth="1"/>
    <col min="94" max="94" width="14.7109375" bestFit="1" customWidth="1"/>
    <col min="95" max="95" width="12.5703125" bestFit="1" customWidth="1"/>
    <col min="99" max="99" width="41" bestFit="1" customWidth="1"/>
    <col min="100" max="100" width="16.140625" bestFit="1" customWidth="1"/>
    <col min="105" max="105" width="13.7109375" bestFit="1" customWidth="1"/>
    <col min="106" max="106" width="16.85546875" bestFit="1" customWidth="1"/>
    <col min="107" max="107" width="24" bestFit="1" customWidth="1"/>
    <col min="108" max="108" width="12" bestFit="1" customWidth="1"/>
    <col min="109" max="109" width="13.85546875" bestFit="1" customWidth="1"/>
    <col min="110" max="110" width="9.42578125" bestFit="1" customWidth="1"/>
    <col min="111" max="111" width="12.85546875" bestFit="1" customWidth="1"/>
    <col min="112" max="112" width="12.5703125" bestFit="1" customWidth="1"/>
    <col min="113" max="113" width="23.85546875" bestFit="1" customWidth="1"/>
  </cols>
  <sheetData>
    <row r="1" spans="1:100" x14ac:dyDescent="0.25">
      <c r="A1" t="s">
        <v>206</v>
      </c>
      <c r="B1" t="s">
        <v>207</v>
      </c>
      <c r="E1" t="s">
        <v>34</v>
      </c>
      <c r="F1" t="s">
        <v>219</v>
      </c>
      <c r="G1" t="s">
        <v>35</v>
      </c>
      <c r="H1" t="s">
        <v>36</v>
      </c>
      <c r="I1" t="s">
        <v>209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180</v>
      </c>
      <c r="T1" t="s">
        <v>47</v>
      </c>
      <c r="U1" t="s">
        <v>48</v>
      </c>
      <c r="V1" t="s">
        <v>49</v>
      </c>
      <c r="W1" t="s">
        <v>236</v>
      </c>
      <c r="Z1" t="s">
        <v>212</v>
      </c>
      <c r="AA1" t="s">
        <v>220</v>
      </c>
      <c r="AB1" t="s">
        <v>181</v>
      </c>
      <c r="AC1" t="s">
        <v>213</v>
      </c>
      <c r="AD1" t="s">
        <v>182</v>
      </c>
      <c r="AE1" t="s">
        <v>183</v>
      </c>
      <c r="AF1" t="s">
        <v>49</v>
      </c>
      <c r="AI1" t="s">
        <v>212</v>
      </c>
      <c r="AJ1" t="s">
        <v>189</v>
      </c>
      <c r="AK1" t="s">
        <v>190</v>
      </c>
      <c r="AL1" t="s">
        <v>191</v>
      </c>
      <c r="AM1" t="s">
        <v>192</v>
      </c>
      <c r="AN1" t="s">
        <v>193</v>
      </c>
      <c r="AO1" t="s">
        <v>194</v>
      </c>
      <c r="AP1" t="s">
        <v>195</v>
      </c>
      <c r="AQ1" t="s">
        <v>196</v>
      </c>
      <c r="AR1" t="s">
        <v>197</v>
      </c>
      <c r="AS1" t="s">
        <v>198</v>
      </c>
      <c r="AT1" t="s">
        <v>199</v>
      </c>
      <c r="AU1" t="s">
        <v>200</v>
      </c>
      <c r="AX1" t="s">
        <v>216</v>
      </c>
      <c r="AY1" t="s">
        <v>220</v>
      </c>
      <c r="AZ1" t="s">
        <v>214</v>
      </c>
      <c r="BA1" t="s">
        <v>215</v>
      </c>
      <c r="BD1" t="s">
        <v>221</v>
      </c>
      <c r="BE1" t="s">
        <v>189</v>
      </c>
      <c r="BF1" t="s">
        <v>190</v>
      </c>
      <c r="BG1" t="s">
        <v>191</v>
      </c>
      <c r="BH1" t="s">
        <v>192</v>
      </c>
      <c r="BI1" t="s">
        <v>193</v>
      </c>
      <c r="BJ1" t="s">
        <v>194</v>
      </c>
      <c r="BK1" t="s">
        <v>195</v>
      </c>
      <c r="BL1" t="s">
        <v>196</v>
      </c>
      <c r="BM1" t="s">
        <v>197</v>
      </c>
      <c r="BN1" t="s">
        <v>198</v>
      </c>
      <c r="BO1" t="s">
        <v>199</v>
      </c>
      <c r="BP1" t="s">
        <v>200</v>
      </c>
      <c r="BS1" t="s">
        <v>218</v>
      </c>
      <c r="BT1" t="s">
        <v>57</v>
      </c>
      <c r="BU1" t="s">
        <v>61</v>
      </c>
      <c r="BV1" t="s">
        <v>111</v>
      </c>
      <c r="BW1" t="s">
        <v>75</v>
      </c>
      <c r="BX1" t="s">
        <v>99</v>
      </c>
      <c r="BY1" t="s">
        <v>114</v>
      </c>
      <c r="BZ1" t="s">
        <v>120</v>
      </c>
      <c r="CA1" t="s">
        <v>106</v>
      </c>
      <c r="CB1" t="s">
        <v>159</v>
      </c>
      <c r="CC1" t="s">
        <v>102</v>
      </c>
      <c r="CD1" t="s">
        <v>108</v>
      </c>
      <c r="CE1" t="s">
        <v>55</v>
      </c>
      <c r="CF1" t="s">
        <v>116</v>
      </c>
      <c r="CG1" t="s">
        <v>70</v>
      </c>
      <c r="CH1" t="s">
        <v>72</v>
      </c>
      <c r="CI1" t="s">
        <v>138</v>
      </c>
      <c r="CJ1" t="s">
        <v>131</v>
      </c>
      <c r="CK1" t="s">
        <v>128</v>
      </c>
      <c r="CL1" t="s">
        <v>59</v>
      </c>
      <c r="CM1" t="s">
        <v>97</v>
      </c>
      <c r="CN1" t="s">
        <v>104</v>
      </c>
      <c r="CO1" t="s">
        <v>152</v>
      </c>
      <c r="CP1" t="s">
        <v>151</v>
      </c>
      <c r="CQ1" t="s">
        <v>134</v>
      </c>
      <c r="CR1" t="s">
        <v>220</v>
      </c>
      <c r="CU1" s="1" t="s">
        <v>169</v>
      </c>
      <c r="CV1" s="1" t="s">
        <v>224</v>
      </c>
    </row>
    <row r="2" spans="1:100" x14ac:dyDescent="0.25">
      <c r="A2" t="s">
        <v>189</v>
      </c>
      <c r="B2">
        <f>SUM('Resident Days Present'!B7)</f>
        <v>0</v>
      </c>
      <c r="E2" t="s">
        <v>189</v>
      </c>
      <c r="F2">
        <f t="shared" ref="F2:F13" si="0">SUM(G2:V2)</f>
        <v>0</v>
      </c>
      <c r="G2">
        <f>COUNTIF(January!F3:F550, "Common Cold")</f>
        <v>0</v>
      </c>
      <c r="H2">
        <f>COUNTIF(January!F3:F550, "Pharyngitis")</f>
        <v>0</v>
      </c>
      <c r="I2">
        <f>COUNTIF(January!F3:F550, "Influenza-like Illness")</f>
        <v>0</v>
      </c>
      <c r="J2">
        <f>COUNTIF(January!F3:F550, "Pneumonia")</f>
        <v>0</v>
      </c>
      <c r="K2">
        <f>COUNTIF(January!F3:F550, "Lower Resp. Tract")</f>
        <v>0</v>
      </c>
      <c r="L2">
        <f>COUNTIF(January!F3:F550, "Upper Resp. Tract")</f>
        <v>0</v>
      </c>
      <c r="M2">
        <f>COUNTIF(January!F3:F550, "UTI")</f>
        <v>0</v>
      </c>
      <c r="N2">
        <f>COUNTIF(January!F3:F550, "Gastroenteritis")</f>
        <v>0</v>
      </c>
      <c r="O2">
        <f>COUNTIF(January!F3:F550, "Norovirus")</f>
        <v>0</v>
      </c>
      <c r="P2">
        <f>COUNTIF(January!F3:F550, "Clostridium difficile")</f>
        <v>0</v>
      </c>
      <c r="Q2">
        <f>COUNTIF(January!F3:F550, "Cellulitis/Soft Tissue/Wound")</f>
        <v>0</v>
      </c>
      <c r="R2">
        <f>COUNTIF(January!F3:F550, "Scabies")</f>
        <v>0</v>
      </c>
      <c r="S2">
        <f>COUNTIF(January!F3:F550, "Lice")</f>
        <v>0</v>
      </c>
      <c r="T2">
        <f>COUNTIF(January!F3:F550, "Ear")</f>
        <v>0</v>
      </c>
      <c r="U2">
        <f>COUNTIF(January!F3:F550, "Eye")</f>
        <v>0</v>
      </c>
      <c r="V2">
        <f>COUNTIF(January!F3:F550, "Other")</f>
        <v>0</v>
      </c>
      <c r="W2">
        <f>COUNTIF(January!F3:F550, "Prophylaxis")</f>
        <v>0</v>
      </c>
      <c r="Z2" t="s">
        <v>189</v>
      </c>
      <c r="AA2">
        <f t="shared" ref="AA2:AA13" si="1">SUM(AB2:AF2)</f>
        <v>0</v>
      </c>
      <c r="AB2">
        <f>COUNTIF(January!AC3:AC550, "ED")</f>
        <v>0</v>
      </c>
      <c r="AC2">
        <f>COUNTIF(January!AC3:AC550, "Clinic")</f>
        <v>0</v>
      </c>
      <c r="AD2">
        <f>COUNTIF(January!AC3:AC550, "Hospital")</f>
        <v>0</v>
      </c>
      <c r="AE2">
        <f>COUNTIF(January!AC3:AC550, "Long-term Care Center")</f>
        <v>0</v>
      </c>
      <c r="AF2">
        <f>COUNTIF(January!AC3:AC550, "Other")</f>
        <v>0</v>
      </c>
      <c r="AI2" t="s">
        <v>181</v>
      </c>
      <c r="AJ2" s="3" t="e">
        <f>SUM(AB2)/SUM(AA2)</f>
        <v>#DIV/0!</v>
      </c>
      <c r="AK2" s="3" t="e">
        <f>SUM(AB3)/SUM(AA3)</f>
        <v>#DIV/0!</v>
      </c>
      <c r="AL2" s="3" t="e">
        <f>SUM(AB4)/SUM(AA4)</f>
        <v>#DIV/0!</v>
      </c>
      <c r="AM2" s="3" t="e">
        <f>SUM(AB5)/SUM(AA5)</f>
        <v>#DIV/0!</v>
      </c>
      <c r="AN2" s="3" t="e">
        <f>SUM(AB6)/SUM(AA6)</f>
        <v>#DIV/0!</v>
      </c>
      <c r="AO2" s="3" t="e">
        <f>SUM(AB7)/SUM(AA7)</f>
        <v>#DIV/0!</v>
      </c>
      <c r="AP2" s="3" t="e">
        <f>SUM(AB8)/SUM(AA8)</f>
        <v>#DIV/0!</v>
      </c>
      <c r="AQ2" s="3" t="e">
        <f>SUM(AB9)/SUM(AA9)</f>
        <v>#DIV/0!</v>
      </c>
      <c r="AR2" s="3" t="e">
        <f>SUM(AB10)/SUM(AA10)</f>
        <v>#DIV/0!</v>
      </c>
      <c r="AS2" s="3" t="e">
        <f>SUM(AB11)/SUM(AA11)</f>
        <v>#DIV/0!</v>
      </c>
      <c r="AT2" s="3" t="e">
        <f>SUM(AB12)/SUM(AA12)</f>
        <v>#DIV/0!</v>
      </c>
      <c r="AU2" s="3" t="e">
        <f>SUM(AB13)/SUM(AA13)</f>
        <v>#DIV/0!</v>
      </c>
      <c r="AX2" t="s">
        <v>189</v>
      </c>
      <c r="AY2">
        <f t="shared" ref="AY2:AY13" si="2">SUM(AZ2:BA2)</f>
        <v>0</v>
      </c>
      <c r="AZ2">
        <f>COUNTIF(January!AG3:AG550, "Yes")</f>
        <v>0</v>
      </c>
      <c r="BA2">
        <f>COUNTIF(January!AG3:AG550, "No")</f>
        <v>0</v>
      </c>
      <c r="BD2" t="s">
        <v>222</v>
      </c>
      <c r="BE2" s="3" t="e">
        <f>SUM(AZ2)/SUM(AY2)</f>
        <v>#DIV/0!</v>
      </c>
      <c r="BF2" s="3" t="e">
        <f>SUM(AZ3)/SUM(AY3)</f>
        <v>#DIV/0!</v>
      </c>
      <c r="BG2" s="3" t="e">
        <f>SUM(AZ4)/SUM(AY4)</f>
        <v>#DIV/0!</v>
      </c>
      <c r="BH2" s="3" t="e">
        <f>SUM(AZ5)/SUM(AY5)</f>
        <v>#DIV/0!</v>
      </c>
      <c r="BI2" s="3" t="e">
        <f>SUM(AZ6)/SUM(AY6)</f>
        <v>#DIV/0!</v>
      </c>
      <c r="BJ2" s="3" t="e">
        <f>SUM(AZ7)/SUM(AY7)</f>
        <v>#DIV/0!</v>
      </c>
      <c r="BK2" s="3" t="e">
        <f>SUM(AZ8)/SUM(AY8)</f>
        <v>#DIV/0!</v>
      </c>
      <c r="BL2" s="3" t="e">
        <f>SUM(AZ9)/SUM(AY9)</f>
        <v>#DIV/0!</v>
      </c>
      <c r="BM2" s="3" t="e">
        <f>SUM(AZ10)/SUM(AY10)</f>
        <v>#DIV/0!</v>
      </c>
      <c r="BN2" s="3" t="e">
        <f>SUM(AZ11)/SUM(AY11)</f>
        <v>#DIV/0!</v>
      </c>
      <c r="BO2" s="3" t="e">
        <f>SUM(AZ12)/SUM(AY12)</f>
        <v>#DIV/0!</v>
      </c>
      <c r="BP2" s="3" t="e">
        <f>SUM(AZ13)/SUM(AY13)</f>
        <v>#DIV/0!</v>
      </c>
      <c r="BS2" t="s">
        <v>189</v>
      </c>
      <c r="BT2">
        <f>COUNTIF(January!X3:X550, "Aminoglycosides")</f>
        <v>0</v>
      </c>
      <c r="BU2">
        <f>COUNTIF(January!X3:X550, "B-lactam/B-lactamase inhibitor combination")</f>
        <v>0</v>
      </c>
      <c r="BV2">
        <f>COUNTIF(January!X3:X550, "Carbapenems")</f>
        <v>0</v>
      </c>
      <c r="BW2">
        <f>COUNTIF(January!X3:X550, "Cephalosporins")</f>
        <v>0</v>
      </c>
      <c r="BX2">
        <f>COUNTIF(January!X3:X550, "Fluoroquinolones")</f>
        <v>0</v>
      </c>
      <c r="BY2">
        <f>COUNTIF(January!X3:X550, "Folate pathway inhibitors")</f>
        <v>0</v>
      </c>
      <c r="BZ2">
        <f>COUNTIF(January!X3:X550, "Fosfomycins")</f>
        <v>0</v>
      </c>
      <c r="CA2">
        <f>COUNTIF(January!X3:X550, "Glycopeptides")</f>
        <v>0</v>
      </c>
      <c r="CB2">
        <f>COUNTIF(January!X3:X550, "Ketolides")</f>
        <v>0</v>
      </c>
      <c r="CC2">
        <f>COUNTIF(January!X3:X550, "Lincosamides")</f>
        <v>0</v>
      </c>
      <c r="CD2">
        <f>COUNTIF(January!X3:X550, "Lipopeptides")</f>
        <v>0</v>
      </c>
      <c r="CE2">
        <f>COUNTIF(January!X3:X550, "M2 ion channel inhibitors")</f>
        <v>0</v>
      </c>
      <c r="CF2">
        <f>COUNTIF(January!X3:X550, "Macrocyclic")</f>
        <v>0</v>
      </c>
      <c r="CG2">
        <f>COUNTIF(January!X3:X550, "Macrolides")</f>
        <v>0</v>
      </c>
      <c r="CH2">
        <f>COUNTIF(January!X3:X550, "Monobactams")</f>
        <v>0</v>
      </c>
      <c r="CI2">
        <f>COUNTIF(January!X3:X550, "Nitrofurans")</f>
        <v>0</v>
      </c>
      <c r="CJ2">
        <f>COUNTIF(January!X3:X550, "Nitroimidazoles")</f>
        <v>0</v>
      </c>
      <c r="CK2">
        <f>COUNTIF(January!X3:X550, "Oxazolidinones")</f>
        <v>0</v>
      </c>
      <c r="CL2">
        <f>COUNTIF(January!X3:X550, "Penicillins")</f>
        <v>0</v>
      </c>
      <c r="CM2">
        <f>COUNTIF(January!X3:X550, "Phenicols")</f>
        <v>0</v>
      </c>
      <c r="CN2">
        <f>COUNTIF(January!X3:X550, "Polymyxins")</f>
        <v>0</v>
      </c>
      <c r="CO2">
        <f>COUNTIF(January!X3:X550, "Rifampin")</f>
        <v>0</v>
      </c>
      <c r="CP2">
        <f>COUNTIF(January!X3:X550, "Streptogramins")</f>
        <v>0</v>
      </c>
      <c r="CQ2">
        <f>COUNTIF(January!X3:X550, "Tetracyclines")</f>
        <v>0</v>
      </c>
      <c r="CR2">
        <f t="shared" ref="CR2:CR14" si="3">SUM(BT2:CQ2)</f>
        <v>0</v>
      </c>
      <c r="CU2" t="s">
        <v>57</v>
      </c>
      <c r="CV2" s="19" t="e">
        <f>SUM(BT14)/SUM(CR14)</f>
        <v>#DIV/0!</v>
      </c>
    </row>
    <row r="3" spans="1:100" x14ac:dyDescent="0.25">
      <c r="A3" t="s">
        <v>190</v>
      </c>
      <c r="B3">
        <f>SUM('Resident Days Present'!B8)</f>
        <v>0</v>
      </c>
      <c r="E3" t="s">
        <v>190</v>
      </c>
      <c r="F3">
        <f t="shared" si="0"/>
        <v>0</v>
      </c>
      <c r="G3">
        <f>COUNTIF(February!F3:F105, "Common Cold")</f>
        <v>0</v>
      </c>
      <c r="H3">
        <f>COUNTIF(February!F3:F550, "Pharyngitis")</f>
        <v>0</v>
      </c>
      <c r="I3">
        <f>COUNTIF(February!F3:F550, "Influenza-like illness")</f>
        <v>0</v>
      </c>
      <c r="J3">
        <f>COUNTIF(February!F3:F550, "Pneumonia")</f>
        <v>0</v>
      </c>
      <c r="K3">
        <f>COUNTIF(February!F3:F550, "Lower Resp. Tract")</f>
        <v>0</v>
      </c>
      <c r="L3">
        <f>COUNTIF(February!F3:F550, "Upper Resp. Tract")</f>
        <v>0</v>
      </c>
      <c r="M3">
        <f>COUNTIF(February!F3:F550, "UTI")</f>
        <v>0</v>
      </c>
      <c r="N3">
        <f>COUNTIF(February!F3:F550, "Gastroenteritis")</f>
        <v>0</v>
      </c>
      <c r="O3">
        <f>COUNTIF(February!F3:F550, "Norovirus")</f>
        <v>0</v>
      </c>
      <c r="P3">
        <f>COUNTIF(February!F3:F550, "Clostridium difficile")</f>
        <v>0</v>
      </c>
      <c r="Q3">
        <f>COUNTIF(February!F3:F550, "Cellulitis/Soft Tissue/Wound")</f>
        <v>0</v>
      </c>
      <c r="R3">
        <f>COUNTIF(February!F3:F105, "Scabies")</f>
        <v>0</v>
      </c>
      <c r="S3">
        <f>COUNTIF(February!F3:F550, "Lice")</f>
        <v>0</v>
      </c>
      <c r="T3">
        <f>COUNTIF(February!F3:F550, "Ear")</f>
        <v>0</v>
      </c>
      <c r="U3">
        <f>COUNTIF(February!F3:F550, "Eye")</f>
        <v>0</v>
      </c>
      <c r="V3">
        <f>COUNTIF(February!F3:F550, "Other")</f>
        <v>0</v>
      </c>
      <c r="W3">
        <f>COUNTIF(February!F3:F550, "Prophylaxis")</f>
        <v>0</v>
      </c>
      <c r="Z3" t="s">
        <v>190</v>
      </c>
      <c r="AA3">
        <f t="shared" si="1"/>
        <v>0</v>
      </c>
      <c r="AB3">
        <f>COUNTIF(February!AC3:AC550, "ED")</f>
        <v>0</v>
      </c>
      <c r="AC3">
        <f>COUNTIF(February!AC3:AC550, "Clinic")</f>
        <v>0</v>
      </c>
      <c r="AD3">
        <f>COUNTIF(February!AC3:AC550, "Hospital")</f>
        <v>0</v>
      </c>
      <c r="AE3">
        <f>COUNTIF(February!AC3:AC550, "Long-term Care Center")</f>
        <v>0</v>
      </c>
      <c r="AF3">
        <f>COUNTIF(February!AC3:AC550, "Other")</f>
        <v>0</v>
      </c>
      <c r="AI3" t="s">
        <v>213</v>
      </c>
      <c r="AJ3" s="3" t="e">
        <f>SUM(AC2)/SUM(AA2)</f>
        <v>#DIV/0!</v>
      </c>
      <c r="AK3" s="3" t="e">
        <f>SUM(AC3)/SUM(AA3)</f>
        <v>#DIV/0!</v>
      </c>
      <c r="AL3" s="3" t="e">
        <f>SUM(AC4)/SUM(AA4)</f>
        <v>#DIV/0!</v>
      </c>
      <c r="AM3" s="3" t="e">
        <f>SUM(AC5)/SUM(AA5)</f>
        <v>#DIV/0!</v>
      </c>
      <c r="AN3" s="3" t="e">
        <f>SUM(AC6)/SUM(AA6)</f>
        <v>#DIV/0!</v>
      </c>
      <c r="AO3" s="3" t="e">
        <f>SUM(AC7)/SUM(AA7)</f>
        <v>#DIV/0!</v>
      </c>
      <c r="AP3" s="3" t="e">
        <f>SUM(AC8)/SUM(AA8)</f>
        <v>#DIV/0!</v>
      </c>
      <c r="AQ3" s="3" t="e">
        <f>SUM(AC9)/SUM(AA9)</f>
        <v>#DIV/0!</v>
      </c>
      <c r="AR3" s="3" t="e">
        <f>SUM(AC10)/SUM(AA10)</f>
        <v>#DIV/0!</v>
      </c>
      <c r="AS3" s="3" t="e">
        <f>SUM(AC11)/SUM(AA11)</f>
        <v>#DIV/0!</v>
      </c>
      <c r="AT3" s="3" t="e">
        <f>SUM(AC12)/SUM(AA12)</f>
        <v>#DIV/0!</v>
      </c>
      <c r="AU3" s="3" t="e">
        <f>SUM(AC13)/SUM(AA13)</f>
        <v>#DIV/0!</v>
      </c>
      <c r="AX3" t="s">
        <v>190</v>
      </c>
      <c r="AY3">
        <f t="shared" si="2"/>
        <v>0</v>
      </c>
      <c r="AZ3">
        <f>COUNTIF(February!AG3:AG550, "Yes")</f>
        <v>0</v>
      </c>
      <c r="BA3">
        <f>COUNTIF(February!AG3:AG550, "No")</f>
        <v>0</v>
      </c>
      <c r="BD3" t="s">
        <v>223</v>
      </c>
      <c r="BE3" s="3" t="e">
        <f>SUM(BA2)/SUM(AY2)</f>
        <v>#DIV/0!</v>
      </c>
      <c r="BF3" s="3" t="e">
        <f>SUM(BA3)/SUM(AY3)</f>
        <v>#DIV/0!</v>
      </c>
      <c r="BG3" s="3" t="e">
        <f>SUM(BA4)/SUM(AY4)</f>
        <v>#DIV/0!</v>
      </c>
      <c r="BH3" s="3" t="e">
        <f>SUM(BA5)/SUM(AY5)</f>
        <v>#DIV/0!</v>
      </c>
      <c r="BI3" s="3" t="e">
        <f>SUM(BA6)/SUM(AY6)</f>
        <v>#DIV/0!</v>
      </c>
      <c r="BJ3" s="3" t="e">
        <f>SUM(BA7)/SUM(AY7)</f>
        <v>#DIV/0!</v>
      </c>
      <c r="BK3" s="3" t="e">
        <f>SUM(BA8)/SUM(AY8)</f>
        <v>#DIV/0!</v>
      </c>
      <c r="BL3" s="3" t="e">
        <f>SUM(BA9)/SUM(AY9)</f>
        <v>#DIV/0!</v>
      </c>
      <c r="BM3" s="3" t="e">
        <f>SUM(BA10)/SUM(AY10)</f>
        <v>#DIV/0!</v>
      </c>
      <c r="BN3" s="3" t="e">
        <f>SUM(BA11)/SUM(AY11)</f>
        <v>#DIV/0!</v>
      </c>
      <c r="BO3" s="3" t="e">
        <f>SUM(BA12)/SUM(AY12)</f>
        <v>#DIV/0!</v>
      </c>
      <c r="BP3" s="3" t="e">
        <f>SUM(BA13)/SUM(AY13)</f>
        <v>#DIV/0!</v>
      </c>
      <c r="BS3" t="s">
        <v>190</v>
      </c>
      <c r="BT3">
        <f>COUNTIF(February!X3:X550, "Aminoglycosides")</f>
        <v>0</v>
      </c>
      <c r="BU3">
        <f>COUNTIF(February!X3:X550, "B-lactam/B-lactamase inhibitor combination")</f>
        <v>0</v>
      </c>
      <c r="BV3">
        <f>COUNTIF(February!X3:X550, "Carbapenems")</f>
        <v>0</v>
      </c>
      <c r="BW3">
        <f>COUNTIF(February!X3:X550, "Cephalosporins")</f>
        <v>0</v>
      </c>
      <c r="BX3">
        <f>COUNTIF(February!X3:X550, "Fluoroquinolones")</f>
        <v>0</v>
      </c>
      <c r="BY3">
        <f>COUNTIF(February!X3:X550, "Folate pathway inhibitors")</f>
        <v>0</v>
      </c>
      <c r="BZ3">
        <f>COUNTIF(February!X3:X550, "Fosfomycins")</f>
        <v>0</v>
      </c>
      <c r="CA3">
        <f>COUNTIF(February!X3:X550, "Glycopeptides")</f>
        <v>0</v>
      </c>
      <c r="CB3">
        <f>COUNTIF(February!X3:X550, "Ketolides")</f>
        <v>0</v>
      </c>
      <c r="CC3">
        <f>COUNTIF(February!X3:X550, "Lincosamides")</f>
        <v>0</v>
      </c>
      <c r="CD3">
        <f>COUNTIF(February!X3:X550, "Lipopeptides")</f>
        <v>0</v>
      </c>
      <c r="CE3">
        <f>COUNTIF(February!X3:X550, "M2 ion channel inhibitors")</f>
        <v>0</v>
      </c>
      <c r="CF3">
        <f>COUNTIF(February!X3:X550, "Macrocyclic")</f>
        <v>0</v>
      </c>
      <c r="CG3">
        <f>COUNTIF(February!X3:X550, "Macrolides")</f>
        <v>0</v>
      </c>
      <c r="CH3">
        <f>COUNTIF(February!X3:X550, "Macrolides")</f>
        <v>0</v>
      </c>
      <c r="CI3">
        <f>COUNTIF(February!X3:X550, "Nitrofurans")</f>
        <v>0</v>
      </c>
      <c r="CJ3">
        <f>COUNTIF(February!X3:X550, "Nitroimidazoles")</f>
        <v>0</v>
      </c>
      <c r="CK3">
        <f>COUNTIF(February!X3:X550, "Oxazolidinones")</f>
        <v>0</v>
      </c>
      <c r="CL3">
        <f>COUNTIF(February!X3:X550, "Penicillins")</f>
        <v>0</v>
      </c>
      <c r="CM3">
        <f>COUNTIF(February!X3:X550, "Phenicols")</f>
        <v>0</v>
      </c>
      <c r="CN3">
        <f>COUNTIF(February!X3:X550, "Polymyxins")</f>
        <v>0</v>
      </c>
      <c r="CO3">
        <f>COUNTIF(February!X3:X550, "Rifampin")</f>
        <v>0</v>
      </c>
      <c r="CP3">
        <f>COUNTIF(February!X3:X550, "Streptogramins")</f>
        <v>0</v>
      </c>
      <c r="CQ3">
        <f>COUNTIF(February!X3:X550, "Tetracyclines")</f>
        <v>0</v>
      </c>
      <c r="CR3">
        <f t="shared" si="3"/>
        <v>0</v>
      </c>
      <c r="CU3" t="s">
        <v>61</v>
      </c>
      <c r="CV3" s="19" t="e">
        <f>SUM(BU14)/SUM(CR14)</f>
        <v>#DIV/0!</v>
      </c>
    </row>
    <row r="4" spans="1:100" x14ac:dyDescent="0.25">
      <c r="A4" t="s">
        <v>191</v>
      </c>
      <c r="B4">
        <f>SUM('Resident Days Present'!B9)</f>
        <v>0</v>
      </c>
      <c r="E4" t="s">
        <v>191</v>
      </c>
      <c r="F4">
        <f t="shared" si="0"/>
        <v>0</v>
      </c>
      <c r="G4">
        <f>COUNTIF(March!F3:F550, "Common Cold")</f>
        <v>0</v>
      </c>
      <c r="H4">
        <f>COUNTIF(March!F3:F550, "Pharyngitis")</f>
        <v>0</v>
      </c>
      <c r="I4">
        <f>COUNTIF(March!F3:F550, "Influenza-like illness")</f>
        <v>0</v>
      </c>
      <c r="J4">
        <f>COUNTIF(March!F3:F550, "Pneumonia")</f>
        <v>0</v>
      </c>
      <c r="K4">
        <f>COUNTIF(March!F3:F550, "Lower Resp. Tract")</f>
        <v>0</v>
      </c>
      <c r="L4">
        <f>COUNTIF(March!F3:F550, "Lower Resp. Tract")</f>
        <v>0</v>
      </c>
      <c r="M4">
        <f>COUNTIF(March!F3:F550, "UTI")</f>
        <v>0</v>
      </c>
      <c r="N4">
        <f>COUNTIF(March!F3:F550, "Gastroenteritis")</f>
        <v>0</v>
      </c>
      <c r="O4">
        <f>COUNTIF(March!F3:F550, "Norovirus")</f>
        <v>0</v>
      </c>
      <c r="P4">
        <f>COUNTIF(March!F3:F550, "Clostridium difficile")</f>
        <v>0</v>
      </c>
      <c r="Q4">
        <f>COUNTIF(March!F3:F550,"Cellulitis/Soft Tissue/Wound")</f>
        <v>0</v>
      </c>
      <c r="R4">
        <f>COUNTIF(March!F3:F550, "Scabies")</f>
        <v>0</v>
      </c>
      <c r="S4">
        <f>COUNTIF(March!F3:F550, "Lice")</f>
        <v>0</v>
      </c>
      <c r="T4">
        <f>COUNTIF(March!F3:F550,"Ear")</f>
        <v>0</v>
      </c>
      <c r="U4">
        <f>COUNTIF(March!F3:F550, "Eye")</f>
        <v>0</v>
      </c>
      <c r="V4">
        <f>COUNTIF(March!F3:F550, "Other")</f>
        <v>0</v>
      </c>
      <c r="W4">
        <f>COUNTIF(March!F3:F550, "Prophylaxis")</f>
        <v>0</v>
      </c>
      <c r="Z4" t="s">
        <v>191</v>
      </c>
      <c r="AA4">
        <f t="shared" si="1"/>
        <v>0</v>
      </c>
      <c r="AB4">
        <f>COUNTIF(March!AC3:AC550, "ED")</f>
        <v>0</v>
      </c>
      <c r="AC4">
        <f>COUNTIF(March!AC3:AC550, "Clinic")</f>
        <v>0</v>
      </c>
      <c r="AD4">
        <f>COUNTIF(March!AC3:AC550, "Hospital")</f>
        <v>0</v>
      </c>
      <c r="AE4">
        <f>COUNTIF(March!AC3:AC550, "Long-term Care Center")</f>
        <v>0</v>
      </c>
      <c r="AF4">
        <f>COUNTIF(March!AC3:AC550, "Other")</f>
        <v>0</v>
      </c>
      <c r="AI4" t="s">
        <v>182</v>
      </c>
      <c r="AJ4" s="3" t="e">
        <f>SUM(AD2)/SUM(AA2)</f>
        <v>#DIV/0!</v>
      </c>
      <c r="AK4" s="3" t="e">
        <f>SUM(AD3)/SUM(AA3)</f>
        <v>#DIV/0!</v>
      </c>
      <c r="AL4" s="3" t="e">
        <f>SUM(AD4)/SUM(AA4)</f>
        <v>#DIV/0!</v>
      </c>
      <c r="AM4" s="3" t="e">
        <f>SUM(AD5)/SUM(AA5)</f>
        <v>#DIV/0!</v>
      </c>
      <c r="AN4" s="3" t="e">
        <f>SUM(AD6)/SUM(AA6)</f>
        <v>#DIV/0!</v>
      </c>
      <c r="AO4" s="3" t="e">
        <f>SUM(AD7)/SUM(AA7)</f>
        <v>#DIV/0!</v>
      </c>
      <c r="AP4" s="3" t="e">
        <f>SUM(AD8)/SUM(AA8)</f>
        <v>#DIV/0!</v>
      </c>
      <c r="AQ4" s="3" t="e">
        <f>SUM(AD9)/SUM(AA9)</f>
        <v>#DIV/0!</v>
      </c>
      <c r="AR4" s="3" t="e">
        <f>SUM(AD10)/SUM(AA10)</f>
        <v>#DIV/0!</v>
      </c>
      <c r="AS4" s="3" t="e">
        <f>SUM(AD11)/SUM(AA11)</f>
        <v>#DIV/0!</v>
      </c>
      <c r="AT4" s="3" t="e">
        <f>SUM(AD12)/SUM(AA12)</f>
        <v>#DIV/0!</v>
      </c>
      <c r="AU4" s="3" t="e">
        <f>SUM(AD13)/SUM(AA13)</f>
        <v>#DIV/0!</v>
      </c>
      <c r="AX4" t="s">
        <v>191</v>
      </c>
      <c r="AY4">
        <f t="shared" si="2"/>
        <v>0</v>
      </c>
      <c r="AZ4">
        <f>COUNTIF(March!AG3:AG550,"Yes")</f>
        <v>0</v>
      </c>
      <c r="BA4">
        <f>COUNTIF(March!AG3:AG550, "No")</f>
        <v>0</v>
      </c>
      <c r="BS4" t="s">
        <v>191</v>
      </c>
      <c r="BT4">
        <f>COUNTIF(March!X3:X550, "Aminoglycosides")</f>
        <v>0</v>
      </c>
      <c r="BU4">
        <f>COUNTIF(March!X3:X550, "B-lactam/B-lactamase inhibitor combination")</f>
        <v>0</v>
      </c>
      <c r="BV4">
        <f>COUNTIF(March!X3:X550, "Carbapenems")</f>
        <v>0</v>
      </c>
      <c r="BW4">
        <f>COUNTIF(March!X3:X550, "Cephalosporins")</f>
        <v>0</v>
      </c>
      <c r="BX4">
        <f>COUNTIF(March!X3:X550, "Fluoroquinolones")</f>
        <v>0</v>
      </c>
      <c r="BY4">
        <f>COUNTIF(March!X3:X550, "Folate pathway inhibitors")</f>
        <v>0</v>
      </c>
      <c r="BZ4">
        <f>COUNTIF(March!X3:X550, "Fosfomycins")</f>
        <v>0</v>
      </c>
      <c r="CA4">
        <f>-COUNTIF(March!X3:X550, "Glycopeptides")</f>
        <v>0</v>
      </c>
      <c r="CB4">
        <f>COUNTIF(March!X3:X550, "Ketolides")</f>
        <v>0</v>
      </c>
      <c r="CC4">
        <f>COUNTIF(March!X3:X550, "Lincosamides")</f>
        <v>0</v>
      </c>
      <c r="CD4">
        <f>COUNTIF(March!X3:X550, "Lipopeptides")</f>
        <v>0</v>
      </c>
      <c r="CE4">
        <f>COUNTIF(March!X3:X550, "M2 ion channel inhibitors")</f>
        <v>0</v>
      </c>
      <c r="CF4">
        <f>COUNTIF(March!X3:X550, "Macrocyclic")</f>
        <v>0</v>
      </c>
      <c r="CG4">
        <f>COUNTIF(March!X3:X550, "Macrolides")</f>
        <v>0</v>
      </c>
      <c r="CH4">
        <f>COUNTIF(March!X3:X550, "Macrolides")</f>
        <v>0</v>
      </c>
      <c r="CI4">
        <f>COUNTIF(March!X3:X550, "Nitrofurans")</f>
        <v>0</v>
      </c>
      <c r="CJ4">
        <f>COUNTIF(March!X3:X550, "Nitroimidazoles")</f>
        <v>0</v>
      </c>
      <c r="CK4">
        <f>COUNTIF(March!X3:X550, "Oxazolidinones")</f>
        <v>0</v>
      </c>
      <c r="CL4">
        <f>COUNTIF(March!X3:X550, "Penicillins")</f>
        <v>0</v>
      </c>
      <c r="CM4">
        <f>COUNTIF(March!X3:X550, "Phenicols")</f>
        <v>0</v>
      </c>
      <c r="CN4">
        <f>COUNTIF(March!X3:X550, "Polymyxins")</f>
        <v>0</v>
      </c>
      <c r="CO4">
        <f>COUNTIF(March!X3:X550, "Rifampin")</f>
        <v>0</v>
      </c>
      <c r="CP4">
        <f>COUNTIF(March!X3:X550, "Streptogramins")</f>
        <v>0</v>
      </c>
      <c r="CQ4">
        <f>COUNTIF(March!X3:X550, "Tetracyclines")</f>
        <v>0</v>
      </c>
      <c r="CR4">
        <f t="shared" si="3"/>
        <v>0</v>
      </c>
      <c r="CU4" t="s">
        <v>111</v>
      </c>
      <c r="CV4" s="19" t="e">
        <f>SUM(BV14)/SUM(CR14)</f>
        <v>#DIV/0!</v>
      </c>
    </row>
    <row r="5" spans="1:100" x14ac:dyDescent="0.25">
      <c r="A5" t="s">
        <v>192</v>
      </c>
      <c r="B5">
        <f>SUM('Resident Days Present'!B10)</f>
        <v>0</v>
      </c>
      <c r="E5" t="s">
        <v>192</v>
      </c>
      <c r="F5">
        <f t="shared" si="0"/>
        <v>0</v>
      </c>
      <c r="G5">
        <f>COUNTIF(April!F3:F550, "Common Cold")</f>
        <v>0</v>
      </c>
      <c r="H5">
        <f>COUNTIF(April!F3:F550, "Pharyngitis")</f>
        <v>0</v>
      </c>
      <c r="I5">
        <f>COUNTIF(April!F3:F550, "Influenza-like illness")</f>
        <v>0</v>
      </c>
      <c r="J5">
        <f>COUNTIF(April!F3:F550, "Pneumonia")</f>
        <v>0</v>
      </c>
      <c r="K5">
        <f>COUNTIF(April!F3:F550, "Lower Resp. Tract")</f>
        <v>0</v>
      </c>
      <c r="L5">
        <f>COUNTIF(April!F3:F550, "Upper Resp. Tract")</f>
        <v>0</v>
      </c>
      <c r="M5">
        <f>COUNTIF(April!F3:F550,"UTI")</f>
        <v>0</v>
      </c>
      <c r="N5">
        <f>COUNTIF(April!F3:F550, "Gastroenteritis")</f>
        <v>0</v>
      </c>
      <c r="O5">
        <f>COUNTIF(April!F3:F550, "Norovirus")</f>
        <v>0</v>
      </c>
      <c r="P5">
        <f>COUNTIF(April!F3:F550, "Clostridium difficile")</f>
        <v>0</v>
      </c>
      <c r="Q5">
        <f>COUNTIF(April!F3:F550, "Cellulitis/Soft Tissue/Wound")</f>
        <v>0</v>
      </c>
      <c r="R5">
        <f>COUNTIF(April!F3:F550, "Scabies")</f>
        <v>0</v>
      </c>
      <c r="S5">
        <f>COUNTIF(April!F3:F550, "Lice")</f>
        <v>0</v>
      </c>
      <c r="T5">
        <f>COUNTIF(April!F3:F550, "Ear")</f>
        <v>0</v>
      </c>
      <c r="U5">
        <f>COUNTIF(April!F3:F550, "Eye")</f>
        <v>0</v>
      </c>
      <c r="V5">
        <f>COUNTIF(April!F3:F550, "Other")</f>
        <v>0</v>
      </c>
      <c r="W5">
        <f>COUNTIF(April!F3:F550, "Prophylaxis")</f>
        <v>0</v>
      </c>
      <c r="Z5" t="s">
        <v>192</v>
      </c>
      <c r="AA5">
        <f t="shared" si="1"/>
        <v>0</v>
      </c>
      <c r="AB5">
        <f>COUNTIF(April!AC3:AC550, "ED")</f>
        <v>0</v>
      </c>
      <c r="AC5">
        <f>COUNTIF(April!AC3:AC550, "Clinic")</f>
        <v>0</v>
      </c>
      <c r="AD5">
        <f>COUNTIF(April!AC3:AC550, "Hospital")</f>
        <v>0</v>
      </c>
      <c r="AE5">
        <f>COUNTIF(April!AC3:AC550, "Long-term Care Center")</f>
        <v>0</v>
      </c>
      <c r="AF5">
        <f>COUNTIF(April!AC3:AC550, "Other")</f>
        <v>0</v>
      </c>
      <c r="AI5" t="s">
        <v>183</v>
      </c>
      <c r="AJ5" s="3" t="e">
        <f>SUM(AE2)/SUM(AA2)</f>
        <v>#DIV/0!</v>
      </c>
      <c r="AK5" s="3" t="e">
        <f>SUM(AE3)/SUM(AA3)</f>
        <v>#DIV/0!</v>
      </c>
      <c r="AL5" s="3" t="e">
        <f>SUM(AE4)/SUM(AA4)</f>
        <v>#DIV/0!</v>
      </c>
      <c r="AM5" s="3" t="e">
        <f>SUM(AE5)/SUM(AA5)</f>
        <v>#DIV/0!</v>
      </c>
      <c r="AN5" s="3" t="e">
        <f>SUM(AE6)/SUM(AA6)</f>
        <v>#DIV/0!</v>
      </c>
      <c r="AO5" s="3" t="e">
        <f>SUM(AE7)/SUM(AA7)</f>
        <v>#DIV/0!</v>
      </c>
      <c r="AP5" s="3" t="e">
        <f>SUM(AE8)/SUM(AA8)</f>
        <v>#DIV/0!</v>
      </c>
      <c r="AQ5" s="3" t="e">
        <f>SUM(AE9)/SUM(AA9)</f>
        <v>#DIV/0!</v>
      </c>
      <c r="AR5" s="3" t="e">
        <f>SUM(AE10)/SUM(AA10)</f>
        <v>#DIV/0!</v>
      </c>
      <c r="AS5" s="3" t="e">
        <f>SUM(AE11)/SUM(AA11)</f>
        <v>#DIV/0!</v>
      </c>
      <c r="AT5" s="3" t="e">
        <f>SUM(AE12)/SUM(AA12)</f>
        <v>#DIV/0!</v>
      </c>
      <c r="AU5" s="3" t="e">
        <f>SUM(AE13)/SUM(AA13)</f>
        <v>#DIV/0!</v>
      </c>
      <c r="AX5" t="s">
        <v>192</v>
      </c>
      <c r="AY5">
        <f t="shared" si="2"/>
        <v>0</v>
      </c>
      <c r="AZ5">
        <f>COUNTIF(April!AG3:AG550, "Yes")</f>
        <v>0</v>
      </c>
      <c r="BA5">
        <f>COUNTIF(April!AG3:AG550, "No")</f>
        <v>0</v>
      </c>
      <c r="BS5" t="s">
        <v>192</v>
      </c>
      <c r="BT5">
        <f>COUNTIF(April!X3:X550, "Aminoglycosides")</f>
        <v>0</v>
      </c>
      <c r="BU5">
        <f>COUNTIF(April!X3:X550, "B-lactam/B-lactamase inhibitor combination")</f>
        <v>0</v>
      </c>
      <c r="BV5">
        <f>COUNTIF(April!X3:X550, "Carbapenems")</f>
        <v>0</v>
      </c>
      <c r="BW5">
        <f>COUNTIF(April!X3:X550, "Cephalosporins")</f>
        <v>0</v>
      </c>
      <c r="BX5">
        <f>COUNTIF(April!X3:X550, "Fluoroquinolones")</f>
        <v>0</v>
      </c>
      <c r="BY5">
        <f>COUNTIF(April!X3:X550, "Folate pathway inhibitors")</f>
        <v>0</v>
      </c>
      <c r="BZ5">
        <f>COUNTIF(April!X3:X550, "Fosfomycins")</f>
        <v>0</v>
      </c>
      <c r="CA5">
        <f>COUNTIF(April!X3:X550, "Glycopeptides")</f>
        <v>0</v>
      </c>
      <c r="CB5">
        <f>COUNTIF(April!X3:X550, "Ketolides")</f>
        <v>0</v>
      </c>
      <c r="CC5">
        <f>COUNTIF(April!X3:X550, "Lincosamides")</f>
        <v>0</v>
      </c>
      <c r="CD5">
        <f>COUNTIF(April!X3:X550, "Lipopeptides")</f>
        <v>0</v>
      </c>
      <c r="CE5">
        <f>COUNTIF(April!X3:X550, "M2 ion channel inhibitors")</f>
        <v>0</v>
      </c>
      <c r="CF5">
        <f>COUNTIF(April!X3:X550, "Macrocyclic")</f>
        <v>0</v>
      </c>
      <c r="CG5">
        <f>COUNTIF(April!X3:X550, "Macrolides")</f>
        <v>0</v>
      </c>
      <c r="CH5">
        <f>COUNTIF(April!X3:X550, "Macrolides")</f>
        <v>0</v>
      </c>
      <c r="CI5">
        <f>COUNTIF(April!X3:X550, "Nitrofurans")</f>
        <v>0</v>
      </c>
      <c r="CJ5">
        <f>COUNTIF(April!X3:X550, "Nitroimidazoles")</f>
        <v>0</v>
      </c>
      <c r="CK5">
        <f>COUNTIF(April!X3:X550, "Oxazolidinones")</f>
        <v>0</v>
      </c>
      <c r="CL5">
        <f>COUNTIF(April!X3:X550, "Penicillins")</f>
        <v>0</v>
      </c>
      <c r="CM5">
        <f>COUNTIF(April!X3:X550, "Phenicols")</f>
        <v>0</v>
      </c>
      <c r="CN5">
        <f>COUNTIF(April!X3:X550, "Polymyxins")</f>
        <v>0</v>
      </c>
      <c r="CO5">
        <f>COUNTIF(April!X3:X550, "Rifampin")</f>
        <v>0</v>
      </c>
      <c r="CP5">
        <f>COUNTIF(April!X3:X550, "Streptogramins")</f>
        <v>0</v>
      </c>
      <c r="CQ5">
        <f>COUNTIF(April!X3:X550, "Tetracyclines")</f>
        <v>0</v>
      </c>
      <c r="CR5">
        <f t="shared" si="3"/>
        <v>0</v>
      </c>
      <c r="CU5" t="s">
        <v>75</v>
      </c>
      <c r="CV5" s="19" t="e">
        <f>SUM(BW14)/SUM(CR14)</f>
        <v>#DIV/0!</v>
      </c>
    </row>
    <row r="6" spans="1:100" x14ac:dyDescent="0.25">
      <c r="A6" t="s">
        <v>193</v>
      </c>
      <c r="B6">
        <f>SUM('Resident Days Present'!B11)</f>
        <v>0</v>
      </c>
      <c r="E6" t="s">
        <v>193</v>
      </c>
      <c r="F6">
        <f t="shared" si="0"/>
        <v>0</v>
      </c>
      <c r="G6">
        <f>COUNTIF(May!F3:F550, "Common Cold")</f>
        <v>0</v>
      </c>
      <c r="H6">
        <f>COUNTIF(May!F3:F550, "Pharyngitis")</f>
        <v>0</v>
      </c>
      <c r="I6">
        <f>COUNTIF(May!F3:F550, "Influenza-like illness")</f>
        <v>0</v>
      </c>
      <c r="J6">
        <f>COUNTIF(May!F3:F550, "Pneumonia")</f>
        <v>0</v>
      </c>
      <c r="K6">
        <f>COUNTIF(May!F3:F550, "Lower Resp. Tract")</f>
        <v>0</v>
      </c>
      <c r="L6">
        <f>COUNTIF(May!F3:F550, "Upper Resp. Tract")</f>
        <v>0</v>
      </c>
      <c r="M6">
        <f>COUNTIF(May!F3:F550, "UTI")</f>
        <v>0</v>
      </c>
      <c r="N6">
        <f>COUNTIF(May!F3:F550, "Gastroenteritis")</f>
        <v>0</v>
      </c>
      <c r="O6">
        <f>COUNTIF(May!F3:F550, "Norovirus")</f>
        <v>0</v>
      </c>
      <c r="P6">
        <f>COUNTIF(May!F3:F550, "Clostridium difficile")</f>
        <v>0</v>
      </c>
      <c r="Q6">
        <f>COUNTIF(May!F3:F550, "Cellulitis/Soft Tissue/Wound")</f>
        <v>0</v>
      </c>
      <c r="R6">
        <f>COUNTIF(May!F3:F550, "Scabies")</f>
        <v>0</v>
      </c>
      <c r="S6">
        <f>COUNTIF(May!F3:F550, "Lice")</f>
        <v>0</v>
      </c>
      <c r="T6">
        <f>COUNTIF(May!F3:F550, "Ear")</f>
        <v>0</v>
      </c>
      <c r="U6">
        <f>COUNTIF(May!F3:F550, "Eye")</f>
        <v>0</v>
      </c>
      <c r="V6">
        <f>COUNTIF(May!F3:F550, "Other")</f>
        <v>0</v>
      </c>
      <c r="W6">
        <f>COUNTIF(May!F3:F550, "Prophylaxis")</f>
        <v>0</v>
      </c>
      <c r="Z6" t="s">
        <v>193</v>
      </c>
      <c r="AA6">
        <f t="shared" si="1"/>
        <v>0</v>
      </c>
      <c r="AB6">
        <f>COUNTIF(May!AC3:AC550, "ED")</f>
        <v>0</v>
      </c>
      <c r="AC6">
        <f>COUNTIF(May!AC3:AC550, "Clinic")</f>
        <v>0</v>
      </c>
      <c r="AD6">
        <f>COUNTIF(May!AC3:AC550, "Hospital")</f>
        <v>0</v>
      </c>
      <c r="AE6">
        <f>COUNTIF(May!AC3:AC550, "Long-term Care Center")</f>
        <v>0</v>
      </c>
      <c r="AF6">
        <f>COUNTIF(May!AC3:AC550, "Other")</f>
        <v>0</v>
      </c>
      <c r="AI6" t="s">
        <v>49</v>
      </c>
      <c r="AJ6" s="3" t="e">
        <f>SUM(AF2)/SUM(AA2)</f>
        <v>#DIV/0!</v>
      </c>
      <c r="AK6" s="3" t="e">
        <f>SUM(AF3)/SUM(AA3)</f>
        <v>#DIV/0!</v>
      </c>
      <c r="AL6" s="3" t="e">
        <f>SUM(AF4)/SUM(AA4)</f>
        <v>#DIV/0!</v>
      </c>
      <c r="AM6" s="3" t="e">
        <f>SUM(AF5)/SUM(AA5)</f>
        <v>#DIV/0!</v>
      </c>
      <c r="AN6" s="3" t="e">
        <f>SUM(AF6)/SUM(AA6)</f>
        <v>#DIV/0!</v>
      </c>
      <c r="AO6" s="3" t="e">
        <f>SUM(AF7)/SUM(AA7)</f>
        <v>#DIV/0!</v>
      </c>
      <c r="AP6" s="3" t="e">
        <f>SUM(AF8)/SUM(AA8)</f>
        <v>#DIV/0!</v>
      </c>
      <c r="AQ6" s="3" t="e">
        <f>SUM(AF9)/SUM(AA9)</f>
        <v>#DIV/0!</v>
      </c>
      <c r="AR6" s="3" t="e">
        <f>SUM(AF10)/SUM(AA10)</f>
        <v>#DIV/0!</v>
      </c>
      <c r="AS6" s="3" t="e">
        <f>SUM(AF11)/SUM(AA11)</f>
        <v>#DIV/0!</v>
      </c>
      <c r="AT6" s="3" t="e">
        <f>SUM(AF12)/SUM(AA12)</f>
        <v>#DIV/0!</v>
      </c>
      <c r="AU6" s="3" t="e">
        <f>SUM(AF13)/SUM(AA13)</f>
        <v>#DIV/0!</v>
      </c>
      <c r="AX6" t="s">
        <v>193</v>
      </c>
      <c r="AY6">
        <f t="shared" si="2"/>
        <v>0</v>
      </c>
      <c r="AZ6">
        <f>COUNTIF(May!AG3:AG550, "Yes")</f>
        <v>0</v>
      </c>
      <c r="BA6">
        <f>COUNTIF(May!AG3:AG550, "No")</f>
        <v>0</v>
      </c>
      <c r="BS6" t="s">
        <v>193</v>
      </c>
      <c r="BT6">
        <f>COUNTIF(May!X3:X550, "Aminoglycosides")</f>
        <v>0</v>
      </c>
      <c r="BU6">
        <f>COUNTIF(May!X3:X550, "B-lactam/B-lactamase inhibitor combination")</f>
        <v>0</v>
      </c>
      <c r="BV6">
        <f>COUNTIF(May!X3:X550, "Carbapenems")</f>
        <v>0</v>
      </c>
      <c r="BW6">
        <f>COUNTIF(May!X3:X550, "Cephalosporins")</f>
        <v>0</v>
      </c>
      <c r="BX6">
        <f>COUNTIF(May!X3:X550, "Fluoroquinolones")</f>
        <v>0</v>
      </c>
      <c r="BY6">
        <f>COUNTIF(May!X3:X550, "Folate pathway inhibitors")</f>
        <v>0</v>
      </c>
      <c r="BZ6">
        <f>COUNTIF(May!X3:X550, "Fosfomycins")</f>
        <v>0</v>
      </c>
      <c r="CA6">
        <f>COUNTIF(May!X3:X550, "Glycopeptides")</f>
        <v>0</v>
      </c>
      <c r="CB6">
        <f>COUNTIF(May!X3:X550, "Ketolides")</f>
        <v>0</v>
      </c>
      <c r="CC6">
        <f>COUNTIF(May!X3:X550, "Lincosamides")</f>
        <v>0</v>
      </c>
      <c r="CD6">
        <f>COUNTIF(May!X3:X550, "Lipopeptides")</f>
        <v>0</v>
      </c>
      <c r="CE6">
        <f>COUNTIF(May!X3:X550, "M2 ion channel inhibitors")</f>
        <v>0</v>
      </c>
      <c r="CF6">
        <f>COUNTIF(May!X3:X550, "Macrocyclic")</f>
        <v>0</v>
      </c>
      <c r="CG6">
        <f>COUNTIF(May!X3:X550, "Macrolides")</f>
        <v>0</v>
      </c>
      <c r="CH6">
        <f>COUNTIF(May!X3:X550, "Macrolides")</f>
        <v>0</v>
      </c>
      <c r="CI6">
        <f>COUNTIF(May!X3:X550, "Nitrofurans")</f>
        <v>0</v>
      </c>
      <c r="CJ6">
        <f>COUNTIF(May!X3:X550, "Nitroimidazoles")</f>
        <v>0</v>
      </c>
      <c r="CK6">
        <f>COUNTIF(May!X3:X550, "Oxazolidinones")</f>
        <v>0</v>
      </c>
      <c r="CL6">
        <f>COUNTIF(May!X3:X550, "Penicillins")</f>
        <v>0</v>
      </c>
      <c r="CM6">
        <f>COUNTIF(May!X3:X550, "Phenicols")</f>
        <v>0</v>
      </c>
      <c r="CN6">
        <f>COUNTIF(May!X3:X550, "Polymyxins")</f>
        <v>0</v>
      </c>
      <c r="CO6">
        <f>COUNTIF(May!X3:X550, "Rifampin")</f>
        <v>0</v>
      </c>
      <c r="CP6">
        <f>COUNTIF(May!X3:X550, "Streptogramins")</f>
        <v>0</v>
      </c>
      <c r="CQ6">
        <f>COUNTIF(May!X3:X550, "Tetracyclines")</f>
        <v>0</v>
      </c>
      <c r="CR6">
        <f t="shared" si="3"/>
        <v>0</v>
      </c>
      <c r="CU6" t="s">
        <v>99</v>
      </c>
      <c r="CV6" s="19" t="e">
        <f>SUM(BX14)/SUM(CR14)</f>
        <v>#DIV/0!</v>
      </c>
    </row>
    <row r="7" spans="1:100" x14ac:dyDescent="0.25">
      <c r="A7" t="s">
        <v>194</v>
      </c>
      <c r="B7">
        <f>SUM('Resident Days Present'!B12)</f>
        <v>0</v>
      </c>
      <c r="E7" t="s">
        <v>194</v>
      </c>
      <c r="F7">
        <f t="shared" si="0"/>
        <v>0</v>
      </c>
      <c r="G7">
        <f>COUNTIF(June!F3:F550, "Common Cold")</f>
        <v>0</v>
      </c>
      <c r="H7">
        <f>COUNTIF(June!F3:F550, "Pharyngitis")</f>
        <v>0</v>
      </c>
      <c r="I7">
        <f>COUNTIF(June!F3:F550, "Influenza-like illness")</f>
        <v>0</v>
      </c>
      <c r="J7">
        <f>COUNTIF(June!F3:F550,"Pneumonia")</f>
        <v>0</v>
      </c>
      <c r="K7">
        <f>COUNTIF(June!F3:F550,"Lower Resp. Tract")</f>
        <v>0</v>
      </c>
      <c r="L7">
        <f>COUNTIF(June!F3:F550, "Upper Resp. Tract")</f>
        <v>0</v>
      </c>
      <c r="M7">
        <f>COUNTIF(June!F3:F550, "UTI")</f>
        <v>0</v>
      </c>
      <c r="N7">
        <f>COUNTIF(June!F3:F550, "Gastroenteritis")</f>
        <v>0</v>
      </c>
      <c r="O7">
        <f>COUNTIF(June!F3:F550, "Norovirus")</f>
        <v>0</v>
      </c>
      <c r="P7">
        <f>COUNTIF(June!F3:F550, "Clostridium difficile")</f>
        <v>0</v>
      </c>
      <c r="Q7">
        <f>COUNTIF(June!F3:F550, "Cellulitis/Soft Tissue/Wound")</f>
        <v>0</v>
      </c>
      <c r="R7">
        <f>COUNTIF(June!F3:F550, "Scabies")</f>
        <v>0</v>
      </c>
      <c r="S7">
        <f>COUNTIF(June!F3:F550, "Lice")</f>
        <v>0</v>
      </c>
      <c r="T7">
        <f>COUNTIF(June!F3:F550, "Ear")</f>
        <v>0</v>
      </c>
      <c r="U7">
        <f>COUNTIF(June!F3:F550, "Eye")</f>
        <v>0</v>
      </c>
      <c r="V7">
        <f>COUNTIF(June!F3:F550, "Other")</f>
        <v>0</v>
      </c>
      <c r="W7">
        <f>COUNTIF(June!F3:F550, "Prophylaxis")</f>
        <v>0</v>
      </c>
      <c r="Z7" t="s">
        <v>194</v>
      </c>
      <c r="AA7">
        <f t="shared" si="1"/>
        <v>0</v>
      </c>
      <c r="AB7">
        <f>COUNTIF(June!AC3:AC550, "ED")</f>
        <v>0</v>
      </c>
      <c r="AC7">
        <f>COUNTIF(June!AC3:AC550, "Clinic")</f>
        <v>0</v>
      </c>
      <c r="AD7">
        <f>COUNTIF(June!AC3:AC550, "Hospital")</f>
        <v>0</v>
      </c>
      <c r="AE7">
        <f>COUNTIF(June!AC3:AC550, "Long-term Care Center")</f>
        <v>0</v>
      </c>
      <c r="AF7">
        <f>COUNTIF(June!AC3:AC550, "Other")</f>
        <v>0</v>
      </c>
      <c r="AX7" t="s">
        <v>194</v>
      </c>
      <c r="AY7">
        <f t="shared" si="2"/>
        <v>0</v>
      </c>
      <c r="AZ7">
        <f>COUNTIF(June!AG3:AG550, "Yes")</f>
        <v>0</v>
      </c>
      <c r="BA7">
        <f>COUNTIF(June!AG3:AG550, "No")</f>
        <v>0</v>
      </c>
      <c r="BS7" t="s">
        <v>194</v>
      </c>
      <c r="BT7">
        <f>COUNTIF(June!X3:X550, "Aminoglycosides")</f>
        <v>0</v>
      </c>
      <c r="BU7">
        <f>COUNTIF(June!X3:X550, "B-lactam/B-lactamase inhibitor combination")</f>
        <v>0</v>
      </c>
      <c r="BV7">
        <f>COUNTIF(June!X3:X550, "Carbapenems")</f>
        <v>0</v>
      </c>
      <c r="BW7">
        <f>COUNTIF(June!X3:X550, "Cephalosporins")</f>
        <v>0</v>
      </c>
      <c r="BX7">
        <f>COUNTIF(June!X3:X550, "Fluoroquinolones")</f>
        <v>0</v>
      </c>
      <c r="BY7">
        <f>COUNTIF(June!X3:X550, "Folate pathway inhibitors")</f>
        <v>0</v>
      </c>
      <c r="BZ7">
        <f>COUNTIF(June!X3:X550, "Fosfomycins")</f>
        <v>0</v>
      </c>
      <c r="CA7">
        <f>COUNTIF(June!X3:X550, "Glycopeptides")</f>
        <v>0</v>
      </c>
      <c r="CB7">
        <f>COUNTIF(June!X3:X550, "Ketolides")</f>
        <v>0</v>
      </c>
      <c r="CC7">
        <f>COUNTIF(June!X3:X550, "Lincosamides")</f>
        <v>0</v>
      </c>
      <c r="CD7">
        <f>COUNTIF(June!X3:X550, "Lipopeptides")</f>
        <v>0</v>
      </c>
      <c r="CE7">
        <f>COUNTIF(June!X3:X550, "M2 ion channel inhibitors")</f>
        <v>0</v>
      </c>
      <c r="CF7">
        <f>COUNTIF(June!X3:X550, "Macrocyclic")</f>
        <v>0</v>
      </c>
      <c r="CG7">
        <f>COUNTIF(June!X3:X550, "Macrolides")</f>
        <v>0</v>
      </c>
      <c r="CH7">
        <f>COUNTIF(June!X3:X550, "Macrolides")</f>
        <v>0</v>
      </c>
      <c r="CI7">
        <f>COUNTIF(June!X3:X550, "Nitrofurans")</f>
        <v>0</v>
      </c>
      <c r="CJ7">
        <f>COUNTIF(June!X3:X550, "Nitroimidazoles")</f>
        <v>0</v>
      </c>
      <c r="CK7">
        <f>COUNTIF(June!X3:X550, "Oxazolidinones")</f>
        <v>0</v>
      </c>
      <c r="CL7">
        <f>COUNTIF(June!X3:X550, "Penicillins")</f>
        <v>0</v>
      </c>
      <c r="CM7">
        <f>COUNTIF(June!X3:X550, "Phenicols")</f>
        <v>0</v>
      </c>
      <c r="CN7">
        <f>COUNTIF(June!X3:X550, "Polymyxins")</f>
        <v>0</v>
      </c>
      <c r="CO7">
        <f>COUNTIF(June!X3:X550, "Rifampin")</f>
        <v>0</v>
      </c>
      <c r="CP7">
        <f>COUNTIF(June!X3:X550, "Streptogramins")</f>
        <v>0</v>
      </c>
      <c r="CQ7">
        <f>COUNTIF(June!X3:X550, "Tetracyclines")</f>
        <v>0</v>
      </c>
      <c r="CR7">
        <f t="shared" si="3"/>
        <v>0</v>
      </c>
      <c r="CU7" t="s">
        <v>114</v>
      </c>
      <c r="CV7" s="19" t="e">
        <f>SUM(BY14)/SUM(CR14)</f>
        <v>#DIV/0!</v>
      </c>
    </row>
    <row r="8" spans="1:100" x14ac:dyDescent="0.25">
      <c r="A8" t="s">
        <v>195</v>
      </c>
      <c r="B8">
        <f>SUM('Resident Days Present'!B13)</f>
        <v>0</v>
      </c>
      <c r="E8" t="s">
        <v>195</v>
      </c>
      <c r="F8">
        <f t="shared" si="0"/>
        <v>0</v>
      </c>
      <c r="G8">
        <f>COUNTIF(July!F3:F550, "Common Cold")</f>
        <v>0</v>
      </c>
      <c r="H8">
        <f>COUNTIF(July!F3:F550, "Pharyngitis")</f>
        <v>0</v>
      </c>
      <c r="I8">
        <f>COUNTIF(July!F3:F550, "Influenza-like illness")</f>
        <v>0</v>
      </c>
      <c r="J8">
        <f>COUNTIF(July!F3:F550, "Pneumonia")</f>
        <v>0</v>
      </c>
      <c r="K8">
        <f>COUNTIF(July!F3:F550, "Lower Resp. Tract")</f>
        <v>0</v>
      </c>
      <c r="L8">
        <f>COUNTIF(July!F3:F550, "Upper Resp. Tract")</f>
        <v>0</v>
      </c>
      <c r="M8">
        <f>COUNTIF(July!F3:F550, "UTI")</f>
        <v>0</v>
      </c>
      <c r="N8">
        <f>COUNTIF(July!F3:F550, "Gastroenteritis")</f>
        <v>0</v>
      </c>
      <c r="O8">
        <f>COUNTIF(July!F3:F550, "Norovirus")</f>
        <v>0</v>
      </c>
      <c r="P8">
        <f>COUNTIF(July!F3:F550, "Clostridium Difficile")</f>
        <v>0</v>
      </c>
      <c r="Q8">
        <f>COUNTIF(July!F3:F550, "Cellulitis/Soft Tissue/Wound")</f>
        <v>0</v>
      </c>
      <c r="R8">
        <f>COUNTIF(July!F3:F550, "Scabies")</f>
        <v>0</v>
      </c>
      <c r="S8">
        <f>COUNTIF(July!F3:F550, "Lice")</f>
        <v>0</v>
      </c>
      <c r="T8">
        <f>COUNTIF(July!F3:F550, "Ear")</f>
        <v>0</v>
      </c>
      <c r="U8">
        <f>COUNTIF(July!F3:F550, "Eye")</f>
        <v>0</v>
      </c>
      <c r="V8">
        <f>COUNTIF(July!F3:F550, "Other")</f>
        <v>0</v>
      </c>
      <c r="W8">
        <f>COUNTIF(July!F3:F550, "Prophylaxis")</f>
        <v>0</v>
      </c>
      <c r="Z8" t="s">
        <v>195</v>
      </c>
      <c r="AA8">
        <f t="shared" si="1"/>
        <v>0</v>
      </c>
      <c r="AB8">
        <f>COUNTIF(July!AC3:AC550, "ED")</f>
        <v>0</v>
      </c>
      <c r="AC8">
        <f>COUNTIF(July!AC3:AC550, "Clinic")</f>
        <v>0</v>
      </c>
      <c r="AD8">
        <f>COUNTIF(July!AC3:AC550, "Hospital")</f>
        <v>0</v>
      </c>
      <c r="AE8">
        <f>COUNTIF(July!AC3:AC550, "Long-term Care Center")</f>
        <v>0</v>
      </c>
      <c r="AF8">
        <f>COUNTIF(July!AC3:AC550, "Other")</f>
        <v>0</v>
      </c>
      <c r="AX8" t="s">
        <v>195</v>
      </c>
      <c r="AY8">
        <f t="shared" si="2"/>
        <v>0</v>
      </c>
      <c r="AZ8">
        <f>COUNTIF(July!AG3:AG550, "Yes")</f>
        <v>0</v>
      </c>
      <c r="BA8">
        <f>COUNTIF(July!AG3:AG550, "No")</f>
        <v>0</v>
      </c>
      <c r="BS8" t="s">
        <v>195</v>
      </c>
      <c r="BT8">
        <f>COUNTIF(July!X3:X550, "Aminoglycosides")</f>
        <v>0</v>
      </c>
      <c r="BU8">
        <f>COUNTIF(July!X3:X550, "B-lactam/B-lactamase inhibitor combination")</f>
        <v>0</v>
      </c>
      <c r="BV8">
        <f>COUNTIF(July!X3:X550, "Carbapenems")</f>
        <v>0</v>
      </c>
      <c r="BW8">
        <f>COUNTIF(July!X3:X550, "Cephalosporins")</f>
        <v>0</v>
      </c>
      <c r="BX8">
        <f>COUNTIF(July!X3:X550, "Fluoroquinolones")</f>
        <v>0</v>
      </c>
      <c r="BY8">
        <f>COUNTIF(July!X3:X550, "Folate pathway inhibitors")</f>
        <v>0</v>
      </c>
      <c r="BZ8">
        <f>COUNTIF(July!X3:X550, "Fosfomycins")</f>
        <v>0</v>
      </c>
      <c r="CA8">
        <f>COUNTIF(July!X3:X550, "Glycopeptides")</f>
        <v>0</v>
      </c>
      <c r="CB8">
        <f>COUNTIF(July!X3:X550, "Ketolides")</f>
        <v>0</v>
      </c>
      <c r="CC8">
        <f>COUNTIF(July!X3:X550, "Lincosamides")</f>
        <v>0</v>
      </c>
      <c r="CD8">
        <f>COUNTIF(July!X3:X550, "Lipopeptides")</f>
        <v>0</v>
      </c>
      <c r="CE8">
        <f>COUNTIF(July!X3:X550, "M2 ion channel inhibitors")</f>
        <v>0</v>
      </c>
      <c r="CF8">
        <f>COUNTIF(July!X3:X550, "Macrocyclic")</f>
        <v>0</v>
      </c>
      <c r="CG8">
        <f>COUNTIF(July!X3:X550, "Macrolides")</f>
        <v>0</v>
      </c>
      <c r="CH8">
        <f>COUNTIF(July!X3:X550, "Macrolides")</f>
        <v>0</v>
      </c>
      <c r="CI8">
        <f>COUNTIF(July!X3:X550, "Nitrofurans")</f>
        <v>0</v>
      </c>
      <c r="CJ8">
        <f>COUNTIF(July!X3:X550, "Nitroimidazoles")</f>
        <v>0</v>
      </c>
      <c r="CK8">
        <f>COUNTIF(July!X3:X550, "Oxazolidinones")</f>
        <v>0</v>
      </c>
      <c r="CL8">
        <f>COUNTIF(July!X3:X550, "Penicillins")</f>
        <v>0</v>
      </c>
      <c r="CM8">
        <f>COUNTIF(July!X3:X550, "Phenicols")</f>
        <v>0</v>
      </c>
      <c r="CN8">
        <f>COUNTIF(July!X3:X550, "Polymyxins")</f>
        <v>0</v>
      </c>
      <c r="CO8">
        <f>COUNTIF(July!X3:X550, "Rifampin")</f>
        <v>0</v>
      </c>
      <c r="CP8">
        <f>COUNTIF(July!X3:X550, "Streptogramins")</f>
        <v>0</v>
      </c>
      <c r="CQ8">
        <f>COUNTIF(July!X3:X550, "Tetracyclines")</f>
        <v>0</v>
      </c>
      <c r="CR8">
        <f t="shared" si="3"/>
        <v>0</v>
      </c>
      <c r="CU8" t="s">
        <v>120</v>
      </c>
      <c r="CV8" s="19" t="e">
        <f>SUM(BZ14)/SUM(CR14)</f>
        <v>#DIV/0!</v>
      </c>
    </row>
    <row r="9" spans="1:100" x14ac:dyDescent="0.25">
      <c r="A9" t="s">
        <v>196</v>
      </c>
      <c r="B9">
        <f>SUM('Resident Days Present'!B14)</f>
        <v>0</v>
      </c>
      <c r="E9" t="s">
        <v>196</v>
      </c>
      <c r="F9">
        <f t="shared" si="0"/>
        <v>0</v>
      </c>
      <c r="G9">
        <f>COUNTIF(August!F3:F550, "Common Cold")</f>
        <v>0</v>
      </c>
      <c r="H9">
        <f>COUNTIF(August!F3:F550, "Pharyngitis")</f>
        <v>0</v>
      </c>
      <c r="I9">
        <f>COUNTIF(August!F3:F550, "Influenza-like illness")</f>
        <v>0</v>
      </c>
      <c r="J9">
        <f>COUNTIF(August!F3:F550, "Pneumonia")</f>
        <v>0</v>
      </c>
      <c r="K9">
        <f>COUNTIF(August!F3:F550, "Lower Resp. Tract")</f>
        <v>0</v>
      </c>
      <c r="L9">
        <f>COUNTIF(August!F3:F550, "Upper Resp. Tract")</f>
        <v>0</v>
      </c>
      <c r="M9">
        <f>COUNTIF(August!F3:F550, "UTI")</f>
        <v>0</v>
      </c>
      <c r="N9">
        <f>COUNTIF(August!F3:F550, "Gastroenteritis")</f>
        <v>0</v>
      </c>
      <c r="O9">
        <f>COUNTIF(August!F3:F550, "Norovirus")</f>
        <v>0</v>
      </c>
      <c r="P9">
        <f>COUNTIF(August!F3:F550, "Clostridium difficile")</f>
        <v>0</v>
      </c>
      <c r="Q9">
        <f>COUNTIF(August!F3:F550, "Cellulitis/Soft Tissue/Wound")</f>
        <v>0</v>
      </c>
      <c r="R9">
        <f>COUNTIF(August!F3:F550, "Scabies")</f>
        <v>0</v>
      </c>
      <c r="S9">
        <f>COUNTIF(August!F3:F550, "Lice")</f>
        <v>0</v>
      </c>
      <c r="T9">
        <f>COUNTIF(August!F3:F550, "Ear")</f>
        <v>0</v>
      </c>
      <c r="U9">
        <f>COUNTIF(August!F3:F550, "Eye")</f>
        <v>0</v>
      </c>
      <c r="V9">
        <f>COUNTIF(August!F3:F550, "Other")</f>
        <v>0</v>
      </c>
      <c r="W9">
        <f>COUNTIF(August!F3:F550, "Prophylaxis")</f>
        <v>0</v>
      </c>
      <c r="Z9" t="s">
        <v>196</v>
      </c>
      <c r="AA9">
        <f t="shared" si="1"/>
        <v>0</v>
      </c>
      <c r="AB9">
        <f>COUNTIF(August!AC3:AC550, "ED")</f>
        <v>0</v>
      </c>
      <c r="AC9">
        <f>COUNTIF(August!AC3:AC550, "Clinic")</f>
        <v>0</v>
      </c>
      <c r="AD9">
        <f>COUNTIF(August!AC3:AC550, "Hospital")</f>
        <v>0</v>
      </c>
      <c r="AE9">
        <f>COUNTIF(August!AC3:AC550, "Long-term Care Center")</f>
        <v>0</v>
      </c>
      <c r="AF9">
        <f>COUNTIF(August!AC3:AC550, "Other")</f>
        <v>0</v>
      </c>
      <c r="AX9" t="s">
        <v>196</v>
      </c>
      <c r="AY9">
        <f t="shared" si="2"/>
        <v>0</v>
      </c>
      <c r="AZ9">
        <f>COUNTIF(August!AG3:AG550, "Yes")</f>
        <v>0</v>
      </c>
      <c r="BA9">
        <f>COUNTIF(August!AG3:AG550, "No")</f>
        <v>0</v>
      </c>
      <c r="BS9" t="s">
        <v>196</v>
      </c>
      <c r="BT9">
        <f>COUNTIF(August!X3:X550, "Aminoglycosides")</f>
        <v>0</v>
      </c>
      <c r="BU9">
        <f>COUNTIF(August!X3:X550, "B-lactam/B-lactamase inhibitor combination")</f>
        <v>0</v>
      </c>
      <c r="BV9">
        <f>COUNTIF(August!X3:X550, "Carbapenems")</f>
        <v>0</v>
      </c>
      <c r="BW9">
        <f>COUNTIF(August!X3:X550, "Cephalosporins")</f>
        <v>0</v>
      </c>
      <c r="BX9">
        <f>COUNTIF(August!X3:X550, "Fluoroquinolones")</f>
        <v>0</v>
      </c>
      <c r="BY9">
        <f>COUNTIF(August!X3:X550, "Folate pathway inhibitors")</f>
        <v>0</v>
      </c>
      <c r="BZ9">
        <f>COUNTIF(August!X3:X550, "Fosfomycins")</f>
        <v>0</v>
      </c>
      <c r="CA9">
        <f>COUNTIF(August!X3:X550, "Glycopeptides")</f>
        <v>0</v>
      </c>
      <c r="CB9">
        <f>COUNTIF(August!X3:X550, "Ketolides")</f>
        <v>0</v>
      </c>
      <c r="CC9">
        <f>COUNTIF(August!X3:X550, "Lincosamides")</f>
        <v>0</v>
      </c>
      <c r="CD9">
        <f>COUNTIF(August!X3:X550, "Lipopeptides")</f>
        <v>0</v>
      </c>
      <c r="CE9">
        <f>COUNTIF(August!X3:X550, "M2 ion channel inhibitors")</f>
        <v>0</v>
      </c>
      <c r="CF9">
        <f>COUNTIF(August!X3:X550, "Macrocyclic")</f>
        <v>0</v>
      </c>
      <c r="CG9">
        <f>COUNTIF(August!X3:X550, "Macrolides")</f>
        <v>0</v>
      </c>
      <c r="CH9">
        <f>COUNTIF(August!X3:X550, "Macrolides")</f>
        <v>0</v>
      </c>
      <c r="CI9">
        <f>COUNTIF(August!X3:X550, "Nitrofurans")</f>
        <v>0</v>
      </c>
      <c r="CJ9">
        <f>COUNTIF(August!X3:X550, "Nitroimidazoles")</f>
        <v>0</v>
      </c>
      <c r="CK9">
        <f>COUNTIF(August!X3:X550, "Oxazolidinones")</f>
        <v>0</v>
      </c>
      <c r="CL9">
        <f>COUNTIF(August!X3:X550, "Penicillins")</f>
        <v>0</v>
      </c>
      <c r="CM9">
        <f>COUNTIF(August!X3:X550, "Phenicols")</f>
        <v>0</v>
      </c>
      <c r="CN9">
        <f>COUNTIF(August!X3:X550, "Polymyxins")</f>
        <v>0</v>
      </c>
      <c r="CO9">
        <f>COUNTIF(August!X3:X550, "Rifampin")</f>
        <v>0</v>
      </c>
      <c r="CP9">
        <f>COUNTIF(August!X3:X550, "Streptogramins")</f>
        <v>0</v>
      </c>
      <c r="CQ9">
        <f>COUNTIF(August!X3:X550, "Tetracyclines")</f>
        <v>0</v>
      </c>
      <c r="CR9">
        <f t="shared" si="3"/>
        <v>0</v>
      </c>
      <c r="CU9" t="s">
        <v>106</v>
      </c>
      <c r="CV9" s="19" t="e">
        <f>SUM(CA14)/SUM(CR14)</f>
        <v>#DIV/0!</v>
      </c>
    </row>
    <row r="10" spans="1:100" x14ac:dyDescent="0.25">
      <c r="A10" t="s">
        <v>197</v>
      </c>
      <c r="B10">
        <f>SUM('Resident Days Present'!B15)</f>
        <v>0</v>
      </c>
      <c r="E10" t="s">
        <v>197</v>
      </c>
      <c r="F10">
        <f t="shared" si="0"/>
        <v>0</v>
      </c>
      <c r="G10">
        <f>COUNTIF(September!F3:F550, "Common Cold")</f>
        <v>0</v>
      </c>
      <c r="H10">
        <f>COUNTIF(September!F3:F550, "Pharyngitis")</f>
        <v>0</v>
      </c>
      <c r="I10">
        <f>COUNTIF(September!F3:F550, "Influenza-like illness")</f>
        <v>0</v>
      </c>
      <c r="J10">
        <f>COUNTIF(September!F3:F550, "Pneumonia")</f>
        <v>0</v>
      </c>
      <c r="K10">
        <f>COUNTIF(September!F3:F550, "Lower Resp. Tract")</f>
        <v>0</v>
      </c>
      <c r="L10">
        <f>COUNTIF(September!F3:F550, "Upper Resp. Tract")</f>
        <v>0</v>
      </c>
      <c r="M10">
        <f>COUNTIF(September!F3:F550, "UTI")</f>
        <v>0</v>
      </c>
      <c r="N10">
        <f>COUNTIF(September!F3:F550, "Gastroenteritis")</f>
        <v>0</v>
      </c>
      <c r="O10">
        <f>COUNTIF(September!F3:F550, "Norovirus")</f>
        <v>0</v>
      </c>
      <c r="P10">
        <f>COUNTIF(September!F3:F550, "Clostridium difficile")</f>
        <v>0</v>
      </c>
      <c r="Q10">
        <f>COUNTIF(September!F3:F550, "Cellulitis/Soft Tissue/Wound")</f>
        <v>0</v>
      </c>
      <c r="R10">
        <f>COUNTIF(September!F3:F550, "Scabies")</f>
        <v>0</v>
      </c>
      <c r="S10">
        <f>COUNTIF(September!F3:F550, "Lice")</f>
        <v>0</v>
      </c>
      <c r="T10">
        <f>COUNTIF(September!F3:F550, "Ear")</f>
        <v>0</v>
      </c>
      <c r="U10">
        <f>COUNTIF(September!F3:F550, "Eye")</f>
        <v>0</v>
      </c>
      <c r="V10">
        <f>COUNTIF(September!F3:F550, "Other")</f>
        <v>0</v>
      </c>
      <c r="W10">
        <f>COUNTIF(September!F3:F550, "Prophylaxis")</f>
        <v>0</v>
      </c>
      <c r="Z10" t="s">
        <v>197</v>
      </c>
      <c r="AA10">
        <f t="shared" si="1"/>
        <v>0</v>
      </c>
      <c r="AB10">
        <f>COUNTIF(September!AC3:AC550,"ED")</f>
        <v>0</v>
      </c>
      <c r="AC10">
        <f>COUNTIF(September!AC3:AC550, "Clinic")</f>
        <v>0</v>
      </c>
      <c r="AD10">
        <f>COUNTIF(September!AC3:AC550, "Hospital")</f>
        <v>0</v>
      </c>
      <c r="AE10">
        <f>COUNTIF(September!AC3:AC550, "Long-term Care Center")</f>
        <v>0</v>
      </c>
      <c r="AF10">
        <f>COUNTIF(September!AC3:AC550, "Other")</f>
        <v>0</v>
      </c>
      <c r="AX10" t="s">
        <v>197</v>
      </c>
      <c r="AY10">
        <f t="shared" si="2"/>
        <v>0</v>
      </c>
      <c r="AZ10">
        <f>COUNTIF(September!AG3:AG550, "Yes")</f>
        <v>0</v>
      </c>
      <c r="BA10">
        <f>COUNTIF(September!AG3:AG550, "No")</f>
        <v>0</v>
      </c>
      <c r="BS10" t="s">
        <v>197</v>
      </c>
      <c r="BT10">
        <f>COUNTIF(September!X3:X550, "Aminoglycosides")</f>
        <v>0</v>
      </c>
      <c r="BU10">
        <f>COUNTIF(September!X3:X550, "B-lactam/B-lactamase inhibitor combination")</f>
        <v>0</v>
      </c>
      <c r="BV10">
        <f>COUNTIF(September!X3:X550, "Carbapenems")</f>
        <v>0</v>
      </c>
      <c r="BW10">
        <f>COUNTIF(September!X3:X550, "Cephalosporins")</f>
        <v>0</v>
      </c>
      <c r="BX10">
        <f>COUNTIF(September!X3:X550, "Fluoroquinolones")</f>
        <v>0</v>
      </c>
      <c r="BY10">
        <f>COUNTIF(September!X3:X550, "Folate pathway inhibitors")</f>
        <v>0</v>
      </c>
      <c r="BZ10">
        <f>COUNTIF(September!X3:X550, "Fosfomycins")</f>
        <v>0</v>
      </c>
      <c r="CA10">
        <f>COUNTIF(September!X3:X550, "Glycopeptides")</f>
        <v>0</v>
      </c>
      <c r="CB10">
        <f>COUNTIF(September!X3:X550, "Ketolides")</f>
        <v>0</v>
      </c>
      <c r="CC10">
        <f>COUNTIF(September!X3:X550, "Lincosamides")</f>
        <v>0</v>
      </c>
      <c r="CD10">
        <f>COUNTIF(September!X3:X550, "Lipopeptides")</f>
        <v>0</v>
      </c>
      <c r="CE10">
        <f>COUNTIF(September!X3:X550, "M2 ion channel inhibitors")</f>
        <v>0</v>
      </c>
      <c r="CF10">
        <f>COUNTIF(September!X3:X550, "Macrocyclic")</f>
        <v>0</v>
      </c>
      <c r="CG10">
        <f>COUNTIF(September!X3:X550, "Macrolides")</f>
        <v>0</v>
      </c>
      <c r="CH10">
        <f>COUNTIF(September!X3:X550, "Macrolides")</f>
        <v>0</v>
      </c>
      <c r="CI10">
        <f>COUNTIF(September!X3:X550, "Nitrofurans")</f>
        <v>0</v>
      </c>
      <c r="CJ10">
        <f>COUNTIF(September!X3:X550, "Nitroimidazoles")</f>
        <v>0</v>
      </c>
      <c r="CK10">
        <f>COUNTIF(September!X3:X550, "Oxazolidinones")</f>
        <v>0</v>
      </c>
      <c r="CL10">
        <f>COUNTIF(September!X3:X550, "Penicillins")</f>
        <v>0</v>
      </c>
      <c r="CM10">
        <f>COUNTIF(September!X3:X550, "Phenicols")</f>
        <v>0</v>
      </c>
      <c r="CN10">
        <f>COUNTIF(September!X3:X550, "Polymyxins")</f>
        <v>0</v>
      </c>
      <c r="CO10">
        <f>COUNTIF(September!X3:X550, "Rifampin")</f>
        <v>0</v>
      </c>
      <c r="CP10">
        <f>COUNTIF(September!X3:X550, "Streptogramins")</f>
        <v>0</v>
      </c>
      <c r="CQ10">
        <f>COUNTIF(September!X3:X550, "Tetracyclines")</f>
        <v>0</v>
      </c>
      <c r="CR10">
        <f t="shared" si="3"/>
        <v>0</v>
      </c>
      <c r="CU10" t="s">
        <v>159</v>
      </c>
      <c r="CV10" s="19" t="e">
        <f>SUM(CB14)/SUM(CR14)</f>
        <v>#DIV/0!</v>
      </c>
    </row>
    <row r="11" spans="1:100" x14ac:dyDescent="0.25">
      <c r="A11" t="s">
        <v>208</v>
      </c>
      <c r="B11">
        <f>SUM('Resident Days Present'!B16)</f>
        <v>0</v>
      </c>
      <c r="E11" t="s">
        <v>198</v>
      </c>
      <c r="F11">
        <f t="shared" si="0"/>
        <v>0</v>
      </c>
      <c r="G11">
        <f>COUNTIF(October!F3:F550, "Common Cold")</f>
        <v>0</v>
      </c>
      <c r="H11">
        <f>COUNTIF(October!F3:F550, "Pharyngitis")</f>
        <v>0</v>
      </c>
      <c r="I11">
        <f>COUNTIF(October!F3:F550, "Influenza-like illness")</f>
        <v>0</v>
      </c>
      <c r="J11">
        <f>COUNTIF(October!F3:F550, "Pneumonia")</f>
        <v>0</v>
      </c>
      <c r="K11">
        <f>COUNTIF(October!F3:F550, "Lower Resp. Tract")</f>
        <v>0</v>
      </c>
      <c r="L11">
        <f>COUNTIF(October!F3:F550, "Upper Resp. Tract")</f>
        <v>0</v>
      </c>
      <c r="M11">
        <f>COUNTIF(October!F3:F550, "UTI")</f>
        <v>0</v>
      </c>
      <c r="N11">
        <f>COUNTIF(October!F3:F550, "Gastroenteritis")</f>
        <v>0</v>
      </c>
      <c r="O11">
        <f>COUNTIF(October!F3:F550, "Norovirus")</f>
        <v>0</v>
      </c>
      <c r="P11">
        <f>COUNTIF(October!F3:F550, "Clostridium difficile")</f>
        <v>0</v>
      </c>
      <c r="Q11">
        <f>COUNTIF(October!F3:F550, "Cellulitis/Soft Tissue/Wound")</f>
        <v>0</v>
      </c>
      <c r="R11">
        <f>COUNTIF(October!F3:F550, "Scabies")</f>
        <v>0</v>
      </c>
      <c r="S11">
        <f>COUNTIF(October!F3:F550, "Lice")</f>
        <v>0</v>
      </c>
      <c r="T11">
        <f>COUNTIF(October!F3:F550, "Ear")</f>
        <v>0</v>
      </c>
      <c r="U11">
        <f>COUNTIF(October!F3:F550, "Eye")</f>
        <v>0</v>
      </c>
      <c r="V11">
        <f>COUNTIF(October!F3:F550, "Other")</f>
        <v>0</v>
      </c>
      <c r="W11">
        <f>COUNTIF(October!F3:F550, "Prophylaxis")</f>
        <v>0</v>
      </c>
      <c r="Z11" t="s">
        <v>198</v>
      </c>
      <c r="AA11">
        <f t="shared" si="1"/>
        <v>0</v>
      </c>
      <c r="AB11">
        <f>COUNTIF(October!AC3:AC550, "ED")</f>
        <v>0</v>
      </c>
      <c r="AC11">
        <f>COUNTIF(October!AC3:AC550, "Clinic")</f>
        <v>0</v>
      </c>
      <c r="AD11">
        <f>COUNTIF(October!AC3:AC550, "Hospital")</f>
        <v>0</v>
      </c>
      <c r="AE11">
        <f>COUNTIF(October!AC3:AC550, "Long-term Care Center")</f>
        <v>0</v>
      </c>
      <c r="AF11">
        <f>COUNTIF(October!AC3:AC550, "Other")</f>
        <v>0</v>
      </c>
      <c r="AX11" t="s">
        <v>198</v>
      </c>
      <c r="AY11">
        <f t="shared" si="2"/>
        <v>0</v>
      </c>
      <c r="AZ11">
        <f>COUNTIF(October!AG3:AG550, "Yes")</f>
        <v>0</v>
      </c>
      <c r="BA11">
        <f>COUNTIF(October!AG3:AG550, "No")</f>
        <v>0</v>
      </c>
      <c r="BS11" t="s">
        <v>198</v>
      </c>
      <c r="BT11">
        <f>COUNTIF(October!X3:X550, "Aminoglycosides")</f>
        <v>0</v>
      </c>
      <c r="BU11">
        <f>COUNTIF(October!X3:X550, "B-lactam/B-lactamase inhibitor combination")</f>
        <v>0</v>
      </c>
      <c r="BV11">
        <f>COUNTIF(October!X3:X550, "Carbapenems")</f>
        <v>0</v>
      </c>
      <c r="BW11">
        <f>COUNTIF(October!X3:X550, "Cephalosporins")</f>
        <v>0</v>
      </c>
      <c r="BX11">
        <f>COUNTIF(October!X3:X550, "Fluoroquinolones")</f>
        <v>0</v>
      </c>
      <c r="BY11">
        <f>COUNTIF(October!X3:X550, "Folate pathway inhibitors")</f>
        <v>0</v>
      </c>
      <c r="BZ11">
        <f>COUNTIF(October!X3:X550, "Fosfomycins")</f>
        <v>0</v>
      </c>
      <c r="CA11">
        <f>COUNTIF(October!X3:X550, "Glycopeptides")</f>
        <v>0</v>
      </c>
      <c r="CB11">
        <f>COUNTIF(October!X3:X550, "Ketolides")</f>
        <v>0</v>
      </c>
      <c r="CC11">
        <f>COUNTIF(October!X3:X550, "Lincosamides")</f>
        <v>0</v>
      </c>
      <c r="CD11">
        <f>COUNTIF(October!X3:X550, "Lipopeptides")</f>
        <v>0</v>
      </c>
      <c r="CE11">
        <f>COUNTIF(October!X3:X550, "M2 ion channel inhibitors")</f>
        <v>0</v>
      </c>
      <c r="CF11">
        <f>COUNTIF(October!X3:X550, "Macrocyclic")</f>
        <v>0</v>
      </c>
      <c r="CG11">
        <f>COUNTIF(October!X3:X550, "Macrolides")</f>
        <v>0</v>
      </c>
      <c r="CH11">
        <f>COUNTIF(October!X3:X550, "Macrolides")</f>
        <v>0</v>
      </c>
      <c r="CI11">
        <f>COUNTIF(October!X3:X550, "Nitrofurans")</f>
        <v>0</v>
      </c>
      <c r="CJ11">
        <f>COUNTIF(October!X3:X550, "Nitroimidazoles")</f>
        <v>0</v>
      </c>
      <c r="CK11">
        <f>COUNTIF(October!X3:X550, "Oxazolidinones")</f>
        <v>0</v>
      </c>
      <c r="CL11">
        <f>COUNTIF(October!X3:X550, "Penicillins")</f>
        <v>0</v>
      </c>
      <c r="CM11">
        <f>COUNTIF(October!X3:X550, "Phenicols")</f>
        <v>0</v>
      </c>
      <c r="CN11">
        <f>COUNTIF(October!X3:X550, "Polymyxins")</f>
        <v>0</v>
      </c>
      <c r="CO11">
        <f>COUNTIF(October!X3:X550, "Rifampin")</f>
        <v>0</v>
      </c>
      <c r="CP11">
        <f>COUNTIF(October!X3:X550, "Streptogramins")</f>
        <v>0</v>
      </c>
      <c r="CQ11">
        <f>COUNTIF(AD3:AD500, "Tetracyclines")</f>
        <v>0</v>
      </c>
      <c r="CR11">
        <f t="shared" si="3"/>
        <v>0</v>
      </c>
      <c r="CU11" t="s">
        <v>102</v>
      </c>
      <c r="CV11" s="19" t="e">
        <f>SUM(CC14)/SUM(CR14)</f>
        <v>#DIV/0!</v>
      </c>
    </row>
    <row r="12" spans="1:100" x14ac:dyDescent="0.25">
      <c r="A12" t="s">
        <v>199</v>
      </c>
      <c r="B12">
        <f>SUM('Resident Days Present'!B17)</f>
        <v>0</v>
      </c>
      <c r="E12" t="s">
        <v>199</v>
      </c>
      <c r="F12">
        <f t="shared" si="0"/>
        <v>0</v>
      </c>
      <c r="G12">
        <f>COUNTIF(November!F3:F550, "Common Cold")</f>
        <v>0</v>
      </c>
      <c r="H12">
        <f>COUNTIF(November!F3:F550, "Pharyngitis")</f>
        <v>0</v>
      </c>
      <c r="I12">
        <f>COUNTIF(November!F3:F550, "Influenza-like illness")</f>
        <v>0</v>
      </c>
      <c r="J12">
        <f>COUNTIF(November!F3:F550, "Pneumonia")</f>
        <v>0</v>
      </c>
      <c r="K12">
        <f>COUNTIF(November!F3:F550, "Lower Resp. Tract")</f>
        <v>0</v>
      </c>
      <c r="L12">
        <f>COUNTIF(November!F3:F550, "Upper Resp. Tract")</f>
        <v>0</v>
      </c>
      <c r="M12">
        <f>COUNTIF(November!F3:F550, "UTI")</f>
        <v>0</v>
      </c>
      <c r="N12">
        <f>COUNTIF(November!F3:F550, "Gastroenteritis")</f>
        <v>0</v>
      </c>
      <c r="O12">
        <f>COUNTIF(November!F3:F550, "Norovirus")</f>
        <v>0</v>
      </c>
      <c r="P12">
        <f>COUNTIF(November!F3:F550, "Clostridium difficile")</f>
        <v>0</v>
      </c>
      <c r="Q12">
        <f>COUNTIF(November!F3:F550, "Cellulitis/Soft Tissue/Wound")</f>
        <v>0</v>
      </c>
      <c r="R12">
        <f>COUNTIF(November!F3:F550, "Scabies")</f>
        <v>0</v>
      </c>
      <c r="S12">
        <f>COUNTIF(November!F3:F550, "Lice")</f>
        <v>0</v>
      </c>
      <c r="T12">
        <f>COUNTIF(November!F3:F550, "Ear")</f>
        <v>0</v>
      </c>
      <c r="U12">
        <f>COUNTIF(November!F3:F550,"Eye")</f>
        <v>0</v>
      </c>
      <c r="V12">
        <f>COUNTIF(November!F3:F550, "Other")</f>
        <v>0</v>
      </c>
      <c r="W12">
        <f>COUNTIF(November!F3:F550, "Prophylaxis")</f>
        <v>0</v>
      </c>
      <c r="Z12" t="s">
        <v>199</v>
      </c>
      <c r="AA12">
        <f t="shared" si="1"/>
        <v>0</v>
      </c>
      <c r="AB12">
        <f>COUNTIF(November!AC3:AC550, "ED")</f>
        <v>0</v>
      </c>
      <c r="AC12">
        <f>COUNTIF(November!AC3:AC550, "Clinic")</f>
        <v>0</v>
      </c>
      <c r="AD12">
        <f>COUNTIF(November!AC3:AC550, "Hospital")</f>
        <v>0</v>
      </c>
      <c r="AE12">
        <f>COUNTIF(November!AC3:AC550, "Long-term Care Center")</f>
        <v>0</v>
      </c>
      <c r="AF12">
        <f>COUNTIF(November!AC3:AC550, "Other")</f>
        <v>0</v>
      </c>
      <c r="AX12" t="s">
        <v>199</v>
      </c>
      <c r="AY12">
        <f t="shared" si="2"/>
        <v>0</v>
      </c>
      <c r="AZ12">
        <f>COUNTIF(November!AG3:AG550, "Yes")</f>
        <v>0</v>
      </c>
      <c r="BA12">
        <f>COUNTIF(November!AG3:AG550, "No")</f>
        <v>0</v>
      </c>
      <c r="BS12" t="s">
        <v>199</v>
      </c>
      <c r="BT12">
        <f>COUNTIF(November!X3:X550, "Aminoglycosides")</f>
        <v>0</v>
      </c>
      <c r="BU12">
        <f>COUNTIF(November!X3:X550, "B-lactam/B-lactamase inhibitor combination")</f>
        <v>0</v>
      </c>
      <c r="BV12">
        <f>COUNTIF(November!X3:X550, "Carbapenems")</f>
        <v>0</v>
      </c>
      <c r="BW12">
        <f>COUNTIF(November!X3:X550, "Cephalosporins")</f>
        <v>0</v>
      </c>
      <c r="BX12">
        <f>COUNTIF(November!X3:X550, "Fluoroquinolones")</f>
        <v>0</v>
      </c>
      <c r="BY12">
        <f>COUNTIF(November!X3:X550, "Folate pathway inhibitors")</f>
        <v>0</v>
      </c>
      <c r="BZ12">
        <f>COUNTIF(November!X3:X550, "Fosfomycins")</f>
        <v>0</v>
      </c>
      <c r="CA12">
        <f>COUNTIF(November!X3:X550, "Glycopeptides")</f>
        <v>0</v>
      </c>
      <c r="CB12">
        <f>COUNTIF(November!X3:X550, "Ketolides")</f>
        <v>0</v>
      </c>
      <c r="CC12">
        <f>COUNTIF(November!X3:X550, "Lincosamides")</f>
        <v>0</v>
      </c>
      <c r="CD12">
        <f>COUNTIF(November!X3:X550, "Lipopeptides")</f>
        <v>0</v>
      </c>
      <c r="CE12">
        <f>COUNTIF(November!X3:X550, "M2 ion channel inhibitors")</f>
        <v>0</v>
      </c>
      <c r="CF12">
        <f>COUNTIF(November!X3:X550, "Macrocyclic")</f>
        <v>0</v>
      </c>
      <c r="CG12">
        <f>COUNTIF(November!X3:X550, "Macrolides")</f>
        <v>0</v>
      </c>
      <c r="CH12">
        <f>COUNTIF(November!X3:X550, "Macrolides")</f>
        <v>0</v>
      </c>
      <c r="CI12">
        <f>COUNTIF(November!X3:X550, "Nitrofurans")</f>
        <v>0</v>
      </c>
      <c r="CJ12">
        <f>COUNTIF(November!X3:X550, "Nitroimidazoles")</f>
        <v>0</v>
      </c>
      <c r="CK12">
        <f>COUNTIF(November!X3:X550, "Oxazolidinones")</f>
        <v>0</v>
      </c>
      <c r="CL12">
        <f>COUNTIF(November!X3:X550, "Penicillins")</f>
        <v>0</v>
      </c>
      <c r="CM12">
        <f>COUNTIF(November!X3:X550, "Phenicols")</f>
        <v>0</v>
      </c>
      <c r="CN12">
        <f>COUNTIF(November!X3:X550, "Polymyxins")</f>
        <v>0</v>
      </c>
      <c r="CO12">
        <f>COUNTIF(November!X3:X550, "Rifampin")</f>
        <v>0</v>
      </c>
      <c r="CP12">
        <f>COUNTIF(November!X3:X550, "Streptogramins")</f>
        <v>0</v>
      </c>
      <c r="CQ12">
        <f>COUNTIF(November!X3:X550, "Tetracyclines")</f>
        <v>0</v>
      </c>
      <c r="CR12">
        <f t="shared" si="3"/>
        <v>0</v>
      </c>
      <c r="CU12" t="s">
        <v>108</v>
      </c>
      <c r="CV12" s="19" t="e">
        <f>SUM(CD14)/SUM(CR14)</f>
        <v>#DIV/0!</v>
      </c>
    </row>
    <row r="13" spans="1:100" x14ac:dyDescent="0.25">
      <c r="A13" t="s">
        <v>200</v>
      </c>
      <c r="B13">
        <f>SUM('Resident Days Present'!B18)</f>
        <v>0</v>
      </c>
      <c r="E13" t="s">
        <v>200</v>
      </c>
      <c r="F13">
        <f t="shared" si="0"/>
        <v>0</v>
      </c>
      <c r="G13">
        <f>COUNTIF(December!F3:F550, "Common Cold")</f>
        <v>0</v>
      </c>
      <c r="H13">
        <f>COUNTIF(December!F3:F550, "Pharyngitis")</f>
        <v>0</v>
      </c>
      <c r="I13">
        <f>COUNTIF(December!F3:F550, "Influenza-like illness")</f>
        <v>0</v>
      </c>
      <c r="J13">
        <f>COUNTIF(December!F3:F550, "Pneumonia")</f>
        <v>0</v>
      </c>
      <c r="K13">
        <f>COUNTIF(December!F3:F550, "Lower Resp. Tract")</f>
        <v>0</v>
      </c>
      <c r="L13">
        <f>COUNTIF(December!F3:F550, "Upper Resp. Tract")</f>
        <v>0</v>
      </c>
      <c r="M13">
        <f>COUNTIF(December!F3:F550, "UTI")</f>
        <v>0</v>
      </c>
      <c r="N13">
        <f>COUNTIF(December!F3:F550, "Gastroenteritis")</f>
        <v>0</v>
      </c>
      <c r="O13">
        <f>COUNTIF(December!F3:F550, "Norovirus")</f>
        <v>0</v>
      </c>
      <c r="P13">
        <f>COUNTIF(December!F3:F550, "Clostridium difficile")</f>
        <v>0</v>
      </c>
      <c r="Q13">
        <f>COUNTIF(December!F3:F550, "Cellulitis/Soft Tissue/Wound")</f>
        <v>0</v>
      </c>
      <c r="R13">
        <f>COUNTIF(December!F3:F550, "Scabies")</f>
        <v>0</v>
      </c>
      <c r="S13">
        <f>COUNTIF(December!F3:F550, "Lice")</f>
        <v>0</v>
      </c>
      <c r="T13">
        <f>COUNTIF(December!F3:F550, "Ear")</f>
        <v>0</v>
      </c>
      <c r="U13">
        <f>COUNTIF(December!F3:F550, "Eye")</f>
        <v>0</v>
      </c>
      <c r="V13">
        <f>COUNTIF(December!F3:F550, "Other")</f>
        <v>0</v>
      </c>
      <c r="W13">
        <f>COUNTIF(December!F3:F550, "Prophylaxis")</f>
        <v>0</v>
      </c>
      <c r="Z13" t="s">
        <v>200</v>
      </c>
      <c r="AA13">
        <f t="shared" si="1"/>
        <v>0</v>
      </c>
      <c r="AB13">
        <f>COUNTIF(December!AC3:AC550, "ED")</f>
        <v>0</v>
      </c>
      <c r="AC13">
        <f>COUNTIF(December!AC3:AC550, "Clinic")</f>
        <v>0</v>
      </c>
      <c r="AD13">
        <f>COUNTIF(December!AC3:AC550, "Hospital")</f>
        <v>0</v>
      </c>
      <c r="AE13">
        <f>COUNTIF(December!AC3:AC550, "Long-term Care Center")</f>
        <v>0</v>
      </c>
      <c r="AF13">
        <f>COUNTIF(December!AC3:AC550, "Other")</f>
        <v>0</v>
      </c>
      <c r="AX13" t="s">
        <v>200</v>
      </c>
      <c r="AY13">
        <f t="shared" si="2"/>
        <v>0</v>
      </c>
      <c r="AZ13">
        <f>COUNTIF(December!AG3:AG550, "Yes")</f>
        <v>0</v>
      </c>
      <c r="BA13">
        <f>COUNTIF(December!AG3:AG550, "No")</f>
        <v>0</v>
      </c>
      <c r="BS13" t="s">
        <v>200</v>
      </c>
      <c r="BT13">
        <f>COUNTIF(December!X3:X550, "Aminoglycosides")</f>
        <v>0</v>
      </c>
      <c r="BU13">
        <f>COUNTIF(December!X3:X550, "B-lactam/B-lactamase inhibitor combination")</f>
        <v>0</v>
      </c>
      <c r="BV13">
        <f>COUNTIF(December!X3:X550, "Carbapenems")</f>
        <v>0</v>
      </c>
      <c r="BW13">
        <f>COUNTIF(December!X3:X550, "Cephalosporins")</f>
        <v>0</v>
      </c>
      <c r="BX13">
        <f>COUNTIF(December!X3:X550, "Fluoroquinolones")</f>
        <v>0</v>
      </c>
      <c r="BY13">
        <f>COUNTIF(December!X3:X550, "Folate pathway inhibitors")</f>
        <v>0</v>
      </c>
      <c r="BZ13">
        <f>COUNTIF(December!X3:X550, "Fosfomycins")</f>
        <v>0</v>
      </c>
      <c r="CA13">
        <f>COUNTIF(December!X3:X550, "Glycopeptides")</f>
        <v>0</v>
      </c>
      <c r="CB13">
        <f>COUNTIF(December!X3:X550, "Ketolides")</f>
        <v>0</v>
      </c>
      <c r="CC13">
        <f>COUNTIF(December!X3:X550, "Lincosamides")</f>
        <v>0</v>
      </c>
      <c r="CD13">
        <f>COUNTIF(December!X3:X550, "Lipopeptides")</f>
        <v>0</v>
      </c>
      <c r="CE13">
        <f>COUNTIF(December!X3:X550, "M2 ion channel inhibitors")</f>
        <v>0</v>
      </c>
      <c r="CF13">
        <f>COUNTIF(December!X3:X550, "Macrocyclic")</f>
        <v>0</v>
      </c>
      <c r="CG13">
        <f>COUNTIF(December!X3:X550, "Macrolides")</f>
        <v>0</v>
      </c>
      <c r="CH13">
        <f>COUNTIF(December!X3:X550, "Macrolides")</f>
        <v>0</v>
      </c>
      <c r="CI13">
        <f>COUNTIF(December!X3:X550, "Nitrofurans")</f>
        <v>0</v>
      </c>
      <c r="CJ13">
        <f>COUNTIF(December!X3:X550, "Nitroimidazoles")</f>
        <v>0</v>
      </c>
      <c r="CK13">
        <f>COUNTIF(December!X3:X550, "Oxazolidinones")</f>
        <v>0</v>
      </c>
      <c r="CL13">
        <f>COUNTIF(December!X3:X550, "Penicillins")</f>
        <v>0</v>
      </c>
      <c r="CM13">
        <f>COUNTIF(December!X3:X550, "Phenicols")</f>
        <v>0</v>
      </c>
      <c r="CN13">
        <f>COUNTIF(December!X3:X550, "Polymyxins")</f>
        <v>0</v>
      </c>
      <c r="CO13">
        <f>COUNTIF(December!X3:X550, "Rifampin")</f>
        <v>0</v>
      </c>
      <c r="CP13">
        <f>COUNTIF(December!X3:X550, "Streptogramins")</f>
        <v>0</v>
      </c>
      <c r="CQ13">
        <f>COUNTIF(December!X3:X550, "Tetracyclines")</f>
        <v>0</v>
      </c>
      <c r="CR13">
        <f t="shared" si="3"/>
        <v>0</v>
      </c>
      <c r="CU13" t="s">
        <v>55</v>
      </c>
      <c r="CV13" s="19" t="e">
        <f>SUM(CE14)/SUM(CR14)</f>
        <v>#DIV/0!</v>
      </c>
    </row>
    <row r="14" spans="1:100" x14ac:dyDescent="0.25">
      <c r="BS14" t="s">
        <v>219</v>
      </c>
      <c r="BT14">
        <f t="shared" ref="BT14:CQ14" si="4">SUM(BT2:BT13)</f>
        <v>0</v>
      </c>
      <c r="BU14">
        <f t="shared" si="4"/>
        <v>0</v>
      </c>
      <c r="BV14">
        <f t="shared" si="4"/>
        <v>0</v>
      </c>
      <c r="BW14">
        <f t="shared" si="4"/>
        <v>0</v>
      </c>
      <c r="BX14">
        <f t="shared" si="4"/>
        <v>0</v>
      </c>
      <c r="BY14">
        <f t="shared" si="4"/>
        <v>0</v>
      </c>
      <c r="BZ14">
        <f t="shared" si="4"/>
        <v>0</v>
      </c>
      <c r="CA14">
        <f t="shared" si="4"/>
        <v>0</v>
      </c>
      <c r="CB14">
        <f t="shared" si="4"/>
        <v>0</v>
      </c>
      <c r="CC14">
        <f t="shared" si="4"/>
        <v>0</v>
      </c>
      <c r="CD14">
        <f t="shared" si="4"/>
        <v>0</v>
      </c>
      <c r="CE14">
        <f t="shared" si="4"/>
        <v>0</v>
      </c>
      <c r="CF14">
        <f t="shared" si="4"/>
        <v>0</v>
      </c>
      <c r="CG14">
        <f t="shared" si="4"/>
        <v>0</v>
      </c>
      <c r="CH14">
        <f t="shared" si="4"/>
        <v>0</v>
      </c>
      <c r="CI14">
        <f t="shared" si="4"/>
        <v>0</v>
      </c>
      <c r="CJ14">
        <f t="shared" si="4"/>
        <v>0</v>
      </c>
      <c r="CK14">
        <f t="shared" si="4"/>
        <v>0</v>
      </c>
      <c r="CL14">
        <f t="shared" si="4"/>
        <v>0</v>
      </c>
      <c r="CM14">
        <f t="shared" si="4"/>
        <v>0</v>
      </c>
      <c r="CN14">
        <f t="shared" si="4"/>
        <v>0</v>
      </c>
      <c r="CO14">
        <f t="shared" si="4"/>
        <v>0</v>
      </c>
      <c r="CP14">
        <f t="shared" si="4"/>
        <v>0</v>
      </c>
      <c r="CQ14">
        <f t="shared" si="4"/>
        <v>0</v>
      </c>
      <c r="CR14">
        <f t="shared" si="3"/>
        <v>0</v>
      </c>
      <c r="CU14" t="s">
        <v>116</v>
      </c>
      <c r="CV14" s="19" t="e">
        <f>SUM(CF14)/SUM(CR14)</f>
        <v>#DIV/0!</v>
      </c>
    </row>
    <row r="15" spans="1:100" x14ac:dyDescent="0.25">
      <c r="CU15" t="s">
        <v>70</v>
      </c>
      <c r="CV15" s="19" t="e">
        <f>SUM(CG14)/SUM(CR14)</f>
        <v>#DIV/0!</v>
      </c>
    </row>
    <row r="16" spans="1:100" x14ac:dyDescent="0.25">
      <c r="CU16" t="s">
        <v>72</v>
      </c>
      <c r="CV16" s="19" t="e">
        <f>SUM(CH14)/SUM(CR14)</f>
        <v>#DIV/0!</v>
      </c>
    </row>
    <row r="17" spans="99:100" x14ac:dyDescent="0.25">
      <c r="CU17" t="s">
        <v>138</v>
      </c>
      <c r="CV17" s="19" t="e">
        <f>SUM(CI14)/SUM(CR14)</f>
        <v>#DIV/0!</v>
      </c>
    </row>
    <row r="18" spans="99:100" x14ac:dyDescent="0.25">
      <c r="CU18" t="s">
        <v>131</v>
      </c>
      <c r="CV18" s="19" t="e">
        <f>SUM(CJ14)/SUM(CR14)</f>
        <v>#DIV/0!</v>
      </c>
    </row>
    <row r="19" spans="99:100" x14ac:dyDescent="0.25">
      <c r="CU19" t="s">
        <v>128</v>
      </c>
      <c r="CV19" s="19" t="e">
        <f>SUM(CK14)/SUM(CR14)</f>
        <v>#DIV/0!</v>
      </c>
    </row>
    <row r="20" spans="99:100" x14ac:dyDescent="0.25">
      <c r="CU20" t="s">
        <v>59</v>
      </c>
      <c r="CV20" s="19" t="e">
        <f>SUM(CL14)/SUM(CR14)</f>
        <v>#DIV/0!</v>
      </c>
    </row>
    <row r="21" spans="99:100" x14ac:dyDescent="0.25">
      <c r="CU21" t="s">
        <v>97</v>
      </c>
      <c r="CV21" s="19" t="e">
        <f>SUM(CM14)/SUM(CR14)</f>
        <v>#DIV/0!</v>
      </c>
    </row>
    <row r="22" spans="99:100" x14ac:dyDescent="0.25">
      <c r="CU22" t="s">
        <v>104</v>
      </c>
      <c r="CV22" s="19" t="e">
        <f>SUM(CN14)/SUM(CR14)</f>
        <v>#DIV/0!</v>
      </c>
    </row>
    <row r="23" spans="99:100" x14ac:dyDescent="0.25">
      <c r="CU23" t="s">
        <v>152</v>
      </c>
      <c r="CV23" s="19" t="e">
        <f>SUM(CO14)/SUM(CR14)</f>
        <v>#DIV/0!</v>
      </c>
    </row>
    <row r="24" spans="99:100" x14ac:dyDescent="0.25">
      <c r="CU24" t="s">
        <v>151</v>
      </c>
      <c r="CV24" s="19" t="e">
        <f>SUM(CP14)/SUM(CR14)</f>
        <v>#DIV/0!</v>
      </c>
    </row>
    <row r="25" spans="99:100" x14ac:dyDescent="0.25">
      <c r="CU25" t="s">
        <v>134</v>
      </c>
      <c r="CV25" s="19" t="e">
        <f>SUM(CQ14)/SUM(CR14)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425781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6" width="12" style="16" customWidth="1"/>
    <col min="17" max="17" width="13.140625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" style="16" customWidth="1"/>
    <col min="24" max="24" width="46.28515625" style="16" bestFit="1" customWidth="1"/>
    <col min="25" max="28" width="12" style="16" customWidth="1"/>
    <col min="29" max="29" width="19.140625" style="16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8" width="20.85546875" style="16" bestFit="1" customWidth="1"/>
    <col min="39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0" t="s">
        <v>24</v>
      </c>
      <c r="AL1" s="70"/>
      <c r="AM1" s="70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247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A3" s="45"/>
      <c r="B3" s="45"/>
      <c r="C3" s="45"/>
      <c r="D3" s="46"/>
      <c r="E3" s="46"/>
      <c r="F3" s="45"/>
      <c r="G3" s="47" t="str">
        <f>IFERROR(VLOOKUP(F3,Lookups!$D$2:$E$18,2,FALSE),"")</f>
        <v/>
      </c>
      <c r="H3" s="45"/>
      <c r="I3" s="45"/>
      <c r="J3" s="46"/>
      <c r="K3" s="45"/>
      <c r="L3" s="46"/>
      <c r="M3" s="46"/>
      <c r="N3" s="47" t="str">
        <f t="shared" ref="N3:N34" si="0">IF(OR(ISBLANK(L3),ISBLANK(M3)),"",(M3-L3)+1)</f>
        <v/>
      </c>
      <c r="O3" s="45"/>
      <c r="P3" s="45"/>
      <c r="Q3" s="46"/>
      <c r="R3" s="45"/>
      <c r="S3" s="45"/>
      <c r="T3" s="45"/>
      <c r="U3" s="45"/>
      <c r="V3" s="45"/>
      <c r="W3" s="45"/>
      <c r="X3" s="47" t="str">
        <f>IFERROR(VLOOKUP(W3,Lookups!$G$2:$H$77,2,FALSE),"")</f>
        <v/>
      </c>
      <c r="Y3" s="45"/>
      <c r="Z3" s="45"/>
      <c r="AA3" s="45"/>
      <c r="AB3" s="45"/>
      <c r="AC3" s="45"/>
      <c r="AD3" s="46"/>
      <c r="AE3" s="46"/>
      <c r="AF3" s="47" t="str">
        <f t="shared" ref="AF3" si="1">IF(OR(ISBLANK(AD3),ISBLANK(AE3)),"",(AE3-AD3)+1)</f>
        <v/>
      </c>
      <c r="AG3" s="45"/>
      <c r="AH3" s="45"/>
      <c r="AI3" s="45"/>
      <c r="AJ3" s="47" t="str">
        <f>IFERROR(VLOOKUP(AI3,Lookups!$W$2:$X$15,2,FALSE),"")</f>
        <v/>
      </c>
      <c r="AK3" s="45"/>
      <c r="AL3" s="45"/>
      <c r="AM3" s="46"/>
    </row>
    <row r="4" spans="1:39" s="15" customFormat="1" x14ac:dyDescent="0.25">
      <c r="A4" s="45"/>
      <c r="B4" s="45"/>
      <c r="C4" s="45"/>
      <c r="D4" s="46"/>
      <c r="E4" s="46"/>
      <c r="F4" s="45"/>
      <c r="G4" s="47" t="str">
        <f>IFERROR(VLOOKUP(F4,Lookups!$D$2:$E$18,2,FALSE),"")</f>
        <v/>
      </c>
      <c r="H4" s="45"/>
      <c r="I4" s="45"/>
      <c r="J4" s="46"/>
      <c r="K4" s="45"/>
      <c r="L4" s="46"/>
      <c r="M4" s="46"/>
      <c r="N4" s="47" t="str">
        <f t="shared" si="0"/>
        <v/>
      </c>
      <c r="O4" s="45"/>
      <c r="P4" s="45"/>
      <c r="Q4" s="46"/>
      <c r="R4" s="45"/>
      <c r="S4" s="45"/>
      <c r="T4" s="45"/>
      <c r="U4" s="45"/>
      <c r="V4" s="45"/>
      <c r="W4" s="45"/>
      <c r="X4" s="47" t="str">
        <f>IFERROR(VLOOKUP(W4,Lookups!$G$2:$H$77,2,FALSE),"")</f>
        <v/>
      </c>
      <c r="Y4" s="45"/>
      <c r="Z4" s="45"/>
      <c r="AA4" s="45"/>
      <c r="AB4" s="45"/>
      <c r="AC4" s="45"/>
      <c r="AD4" s="46"/>
      <c r="AE4" s="46"/>
      <c r="AF4" s="47" t="str">
        <f t="shared" ref="AF4:AF50" si="2">IF(OR(ISBLANK(AD4),ISBLANK(AE4)),"",(AE4-AD4)+1)</f>
        <v/>
      </c>
      <c r="AG4" s="45"/>
      <c r="AH4" s="45"/>
      <c r="AI4" s="45"/>
      <c r="AJ4" s="47" t="str">
        <f>IFERROR(VLOOKUP(AI4,Lookups!$W$2:$X$15,2,FALSE),"")</f>
        <v/>
      </c>
      <c r="AK4" s="45"/>
      <c r="AL4" s="45"/>
      <c r="AM4" s="46"/>
    </row>
    <row r="5" spans="1:39" s="15" customFormat="1" x14ac:dyDescent="0.25">
      <c r="A5" s="45"/>
      <c r="B5" s="45"/>
      <c r="C5" s="45"/>
      <c r="D5" s="46"/>
      <c r="E5" s="46"/>
      <c r="F5" s="45"/>
      <c r="G5" s="47" t="str">
        <f>IFERROR(VLOOKUP(F5,Lookups!$D$2:$E$18,2,FALSE),"")</f>
        <v/>
      </c>
      <c r="H5" s="45"/>
      <c r="I5" s="45"/>
      <c r="J5" s="46"/>
      <c r="K5" s="45"/>
      <c r="L5" s="46"/>
      <c r="M5" s="46"/>
      <c r="N5" s="47" t="str">
        <f t="shared" si="0"/>
        <v/>
      </c>
      <c r="O5" s="45"/>
      <c r="P5" s="45"/>
      <c r="Q5" s="46"/>
      <c r="R5" s="45"/>
      <c r="S5" s="45"/>
      <c r="T5" s="45"/>
      <c r="U5" s="45"/>
      <c r="V5" s="45"/>
      <c r="W5" s="45"/>
      <c r="X5" s="47" t="str">
        <f>IFERROR(VLOOKUP(W5,Lookups!$G$2:$H$77,2,FALSE),"")</f>
        <v/>
      </c>
      <c r="Y5" s="45"/>
      <c r="Z5" s="45"/>
      <c r="AA5" s="45"/>
      <c r="AB5" s="45"/>
      <c r="AC5" s="45"/>
      <c r="AD5" s="46"/>
      <c r="AE5" s="46"/>
      <c r="AF5" s="47" t="str">
        <f t="shared" si="2"/>
        <v/>
      </c>
      <c r="AG5" s="45"/>
      <c r="AH5" s="45"/>
      <c r="AI5" s="45"/>
      <c r="AJ5" s="47" t="str">
        <f>IFERROR(VLOOKUP(AI5,Lookups!$W$2:$X$15,2,FALSE),"")</f>
        <v/>
      </c>
      <c r="AK5" s="45"/>
      <c r="AL5" s="45"/>
      <c r="AM5" s="46"/>
    </row>
    <row r="6" spans="1:39" s="15" customFormat="1" x14ac:dyDescent="0.25">
      <c r="A6" s="45"/>
      <c r="B6" s="45"/>
      <c r="C6" s="45"/>
      <c r="D6" s="46"/>
      <c r="E6" s="46"/>
      <c r="F6" s="45"/>
      <c r="G6" s="47" t="str">
        <f>IFERROR(VLOOKUP(F6,Lookups!$D$2:$E$18,2,FALSE),"")</f>
        <v/>
      </c>
      <c r="H6" s="45"/>
      <c r="I6" s="45"/>
      <c r="J6" s="46"/>
      <c r="K6" s="45"/>
      <c r="L6" s="46"/>
      <c r="M6" s="46"/>
      <c r="N6" s="47" t="str">
        <f t="shared" si="0"/>
        <v/>
      </c>
      <c r="O6" s="45"/>
      <c r="P6" s="45"/>
      <c r="Q6" s="46"/>
      <c r="R6" s="45"/>
      <c r="S6" s="45"/>
      <c r="T6" s="45"/>
      <c r="U6" s="45"/>
      <c r="V6" s="45"/>
      <c r="W6" s="45"/>
      <c r="X6" s="47" t="str">
        <f>IFERROR(VLOOKUP(W6,Lookups!$G$2:$H$77,2,FALSE),"")</f>
        <v/>
      </c>
      <c r="Y6" s="45"/>
      <c r="Z6" s="45"/>
      <c r="AA6" s="45"/>
      <c r="AB6" s="45"/>
      <c r="AC6" s="45"/>
      <c r="AD6" s="46"/>
      <c r="AE6" s="46"/>
      <c r="AF6" s="47" t="str">
        <f t="shared" si="2"/>
        <v/>
      </c>
      <c r="AG6" s="45"/>
      <c r="AH6" s="45"/>
      <c r="AI6" s="45"/>
      <c r="AJ6" s="47" t="str">
        <f>IFERROR(VLOOKUP(AI6,Lookups!$W$2:$X$15,2,FALSE),"")</f>
        <v/>
      </c>
      <c r="AK6" s="45"/>
      <c r="AL6" s="45"/>
      <c r="AM6" s="46"/>
    </row>
    <row r="7" spans="1:39" s="15" customFormat="1" x14ac:dyDescent="0.25">
      <c r="A7" s="45"/>
      <c r="B7" s="45"/>
      <c r="C7" s="45"/>
      <c r="D7" s="46"/>
      <c r="E7" s="46"/>
      <c r="F7" s="45"/>
      <c r="G7" s="47" t="str">
        <f>IFERROR(VLOOKUP(F7,Lookups!$D$2:$E$18,2,FALSE),"")</f>
        <v/>
      </c>
      <c r="H7" s="45"/>
      <c r="I7" s="45"/>
      <c r="J7" s="46"/>
      <c r="K7" s="45"/>
      <c r="L7" s="46"/>
      <c r="M7" s="46"/>
      <c r="N7" s="47" t="str">
        <f t="shared" si="0"/>
        <v/>
      </c>
      <c r="O7" s="45"/>
      <c r="P7" s="45"/>
      <c r="Q7" s="46"/>
      <c r="R7" s="45"/>
      <c r="S7" s="45"/>
      <c r="T7" s="45"/>
      <c r="U7" s="45"/>
      <c r="V7" s="45"/>
      <c r="W7" s="45"/>
      <c r="X7" s="47" t="str">
        <f>IFERROR(VLOOKUP(W7,Lookups!$G$2:$H$77,2,FALSE),"")</f>
        <v/>
      </c>
      <c r="Y7" s="45"/>
      <c r="Z7" s="45"/>
      <c r="AA7" s="45"/>
      <c r="AB7" s="45"/>
      <c r="AC7" s="45"/>
      <c r="AD7" s="46"/>
      <c r="AE7" s="46"/>
      <c r="AF7" s="47" t="str">
        <f t="shared" si="2"/>
        <v/>
      </c>
      <c r="AG7" s="45"/>
      <c r="AH7" s="45"/>
      <c r="AI7" s="45"/>
      <c r="AJ7" s="47" t="str">
        <f>IFERROR(VLOOKUP(AI7,Lookups!$W$2:$X$15,2,FALSE),"")</f>
        <v/>
      </c>
      <c r="AK7" s="45"/>
      <c r="AL7" s="45"/>
      <c r="AM7" s="46"/>
    </row>
    <row r="8" spans="1:39" s="15" customFormat="1" x14ac:dyDescent="0.25">
      <c r="A8" s="45"/>
      <c r="B8" s="45"/>
      <c r="C8" s="45"/>
      <c r="D8" s="46"/>
      <c r="E8" s="46"/>
      <c r="F8" s="45"/>
      <c r="G8" s="47" t="str">
        <f>IFERROR(VLOOKUP(F8,Lookups!$D$2:$E$18,2,FALSE),"")</f>
        <v/>
      </c>
      <c r="H8" s="45"/>
      <c r="I8" s="45"/>
      <c r="J8" s="46"/>
      <c r="K8" s="45"/>
      <c r="L8" s="46"/>
      <c r="M8" s="46"/>
      <c r="N8" s="47" t="str">
        <f t="shared" si="0"/>
        <v/>
      </c>
      <c r="O8" s="45"/>
      <c r="P8" s="45"/>
      <c r="Q8" s="46"/>
      <c r="R8" s="45"/>
      <c r="S8" s="45"/>
      <c r="T8" s="45"/>
      <c r="U8" s="45"/>
      <c r="V8" s="45"/>
      <c r="W8" s="45"/>
      <c r="X8" s="47" t="str">
        <f>IFERROR(VLOOKUP(W8,Lookups!$G$2:$H$77,2,FALSE),"")</f>
        <v/>
      </c>
      <c r="Y8" s="45"/>
      <c r="Z8" s="45"/>
      <c r="AA8" s="45"/>
      <c r="AB8" s="45"/>
      <c r="AC8" s="45"/>
      <c r="AD8" s="46"/>
      <c r="AE8" s="46"/>
      <c r="AF8" s="47" t="str">
        <f t="shared" si="2"/>
        <v/>
      </c>
      <c r="AG8" s="45"/>
      <c r="AH8" s="45"/>
      <c r="AI8" s="45"/>
      <c r="AJ8" s="47" t="str">
        <f>IFERROR(VLOOKUP(AI8,Lookups!$W$2:$X$15,2,FALSE),"")</f>
        <v/>
      </c>
      <c r="AK8" s="45"/>
      <c r="AL8" s="45"/>
      <c r="AM8" s="46"/>
    </row>
    <row r="9" spans="1:39" s="15" customFormat="1" x14ac:dyDescent="0.25">
      <c r="A9" s="45"/>
      <c r="B9" s="45"/>
      <c r="C9" s="45"/>
      <c r="D9" s="46"/>
      <c r="E9" s="46"/>
      <c r="F9" s="45"/>
      <c r="G9" s="47" t="str">
        <f>IFERROR(VLOOKUP(F9,Lookups!$D$2:$E$18,2,FALSE),"")</f>
        <v/>
      </c>
      <c r="H9" s="45"/>
      <c r="I9" s="45"/>
      <c r="J9" s="46"/>
      <c r="K9" s="45"/>
      <c r="L9" s="46"/>
      <c r="M9" s="46"/>
      <c r="N9" s="47" t="str">
        <f t="shared" si="0"/>
        <v/>
      </c>
      <c r="O9" s="45"/>
      <c r="P9" s="45"/>
      <c r="Q9" s="46"/>
      <c r="R9" s="45"/>
      <c r="S9" s="45"/>
      <c r="T9" s="45"/>
      <c r="U9" s="45"/>
      <c r="V9" s="45"/>
      <c r="W9" s="45"/>
      <c r="X9" s="47" t="str">
        <f>IFERROR(VLOOKUP(W9,Lookups!$G$2:$H$77,2,FALSE),"")</f>
        <v/>
      </c>
      <c r="Y9" s="45"/>
      <c r="Z9" s="45"/>
      <c r="AA9" s="45"/>
      <c r="AB9" s="45"/>
      <c r="AC9" s="45"/>
      <c r="AD9" s="46"/>
      <c r="AE9" s="46"/>
      <c r="AF9" s="47" t="str">
        <f t="shared" si="2"/>
        <v/>
      </c>
      <c r="AG9" s="45"/>
      <c r="AH9" s="45"/>
      <c r="AI9" s="45"/>
      <c r="AJ9" s="47" t="str">
        <f>IFERROR(VLOOKUP(AI9,Lookups!$W$2:$X$15,2,FALSE),"")</f>
        <v/>
      </c>
      <c r="AK9" s="45"/>
      <c r="AL9" s="45"/>
      <c r="AM9" s="46"/>
    </row>
    <row r="10" spans="1:39" s="15" customFormat="1" x14ac:dyDescent="0.25">
      <c r="A10" s="45"/>
      <c r="B10" s="45"/>
      <c r="C10" s="45"/>
      <c r="D10" s="46"/>
      <c r="E10" s="46"/>
      <c r="F10" s="45"/>
      <c r="G10" s="47" t="str">
        <f>IFERROR(VLOOKUP(F10,Lookups!$D$2:$E$18,2,FALSE),"")</f>
        <v/>
      </c>
      <c r="H10" s="45"/>
      <c r="I10" s="45"/>
      <c r="J10" s="46"/>
      <c r="K10" s="45"/>
      <c r="L10" s="46"/>
      <c r="M10" s="46"/>
      <c r="N10" s="47" t="str">
        <f t="shared" si="0"/>
        <v/>
      </c>
      <c r="O10" s="45"/>
      <c r="P10" s="45"/>
      <c r="Q10" s="46"/>
      <c r="R10" s="45"/>
      <c r="S10" s="45"/>
      <c r="T10" s="45"/>
      <c r="U10" s="45"/>
      <c r="V10" s="45"/>
      <c r="W10" s="45"/>
      <c r="X10" s="47" t="str">
        <f>IFERROR(VLOOKUP(W10,Lookups!$G$2:$H$77,2,FALSE),"")</f>
        <v/>
      </c>
      <c r="Y10" s="45"/>
      <c r="Z10" s="45"/>
      <c r="AA10" s="45"/>
      <c r="AB10" s="45"/>
      <c r="AC10" s="45"/>
      <c r="AD10" s="46"/>
      <c r="AE10" s="46"/>
      <c r="AF10" s="47" t="str">
        <f t="shared" si="2"/>
        <v/>
      </c>
      <c r="AG10" s="45"/>
      <c r="AH10" s="45"/>
      <c r="AI10" s="45"/>
      <c r="AJ10" s="47" t="str">
        <f>IFERROR(VLOOKUP(AI10,Lookups!$W$2:$X$15,2,FALSE),"")</f>
        <v/>
      </c>
      <c r="AK10" s="45"/>
      <c r="AL10" s="45"/>
      <c r="AM10" s="46"/>
    </row>
    <row r="11" spans="1:39" s="15" customFormat="1" x14ac:dyDescent="0.25">
      <c r="A11" s="45"/>
      <c r="B11" s="45"/>
      <c r="C11" s="45"/>
      <c r="D11" s="46"/>
      <c r="E11" s="46"/>
      <c r="F11" s="45"/>
      <c r="G11" s="47" t="str">
        <f>IFERROR(VLOOKUP(F11,Lookups!$D$2:$E$18,2,FALSE),"")</f>
        <v/>
      </c>
      <c r="H11" s="45"/>
      <c r="I11" s="45"/>
      <c r="J11" s="46"/>
      <c r="K11" s="45"/>
      <c r="L11" s="46"/>
      <c r="M11" s="46"/>
      <c r="N11" s="47" t="str">
        <f t="shared" si="0"/>
        <v/>
      </c>
      <c r="O11" s="45"/>
      <c r="P11" s="45"/>
      <c r="Q11" s="46"/>
      <c r="R11" s="45"/>
      <c r="S11" s="45"/>
      <c r="T11" s="45"/>
      <c r="U11" s="45"/>
      <c r="V11" s="45"/>
      <c r="W11" s="45"/>
      <c r="X11" s="47" t="str">
        <f>IFERROR(VLOOKUP(W11,Lookups!$G$2:$H$77,2,FALSE),"")</f>
        <v/>
      </c>
      <c r="Y11" s="45"/>
      <c r="Z11" s="45"/>
      <c r="AA11" s="45"/>
      <c r="AB11" s="45"/>
      <c r="AC11" s="45"/>
      <c r="AD11" s="46"/>
      <c r="AE11" s="46"/>
      <c r="AF11" s="47" t="str">
        <f t="shared" si="2"/>
        <v/>
      </c>
      <c r="AG11" s="45"/>
      <c r="AH11" s="45"/>
      <c r="AI11" s="45"/>
      <c r="AJ11" s="47" t="str">
        <f>IFERROR(VLOOKUP(AI11,Lookups!$W$2:$X$15,2,FALSE),"")</f>
        <v/>
      </c>
      <c r="AK11" s="45"/>
      <c r="AL11" s="45"/>
      <c r="AM11" s="46"/>
    </row>
    <row r="12" spans="1:39" s="15" customFormat="1" x14ac:dyDescent="0.25">
      <c r="A12" s="45"/>
      <c r="B12" s="45"/>
      <c r="C12" s="45"/>
      <c r="D12" s="46"/>
      <c r="E12" s="46"/>
      <c r="F12" s="45"/>
      <c r="G12" s="47" t="str">
        <f>IFERROR(VLOOKUP(F12,Lookups!$D$2:$E$18,2,FALSE),"")</f>
        <v/>
      </c>
      <c r="H12" s="45"/>
      <c r="I12" s="45"/>
      <c r="J12" s="46"/>
      <c r="K12" s="45"/>
      <c r="L12" s="46"/>
      <c r="M12" s="46"/>
      <c r="N12" s="47" t="str">
        <f t="shared" si="0"/>
        <v/>
      </c>
      <c r="O12" s="45"/>
      <c r="P12" s="45"/>
      <c r="Q12" s="46"/>
      <c r="R12" s="45"/>
      <c r="S12" s="45"/>
      <c r="T12" s="45"/>
      <c r="U12" s="45"/>
      <c r="V12" s="45"/>
      <c r="W12" s="45"/>
      <c r="X12" s="47" t="str">
        <f>IFERROR(VLOOKUP(W12,Lookups!$G$2:$H$77,2,FALSE),"")</f>
        <v/>
      </c>
      <c r="Y12" s="45"/>
      <c r="Z12" s="45"/>
      <c r="AA12" s="45"/>
      <c r="AB12" s="45"/>
      <c r="AC12" s="45"/>
      <c r="AD12" s="46"/>
      <c r="AE12" s="46"/>
      <c r="AF12" s="47" t="str">
        <f t="shared" si="2"/>
        <v/>
      </c>
      <c r="AG12" s="45"/>
      <c r="AH12" s="45"/>
      <c r="AI12" s="45"/>
      <c r="AJ12" s="47" t="str">
        <f>IFERROR(VLOOKUP(AI12,Lookups!$W$2:$X$15,2,FALSE),"")</f>
        <v/>
      </c>
      <c r="AK12" s="45"/>
      <c r="AL12" s="45"/>
      <c r="AM12" s="46"/>
    </row>
    <row r="13" spans="1:39" s="15" customFormat="1" x14ac:dyDescent="0.25">
      <c r="A13" s="45"/>
      <c r="B13" s="45"/>
      <c r="C13" s="45"/>
      <c r="D13" s="46"/>
      <c r="E13" s="46"/>
      <c r="F13" s="45"/>
      <c r="G13" s="47" t="str">
        <f>IFERROR(VLOOKUP(F13,Lookups!$D$2:$E$18,2,FALSE),"")</f>
        <v/>
      </c>
      <c r="H13" s="45"/>
      <c r="I13" s="45"/>
      <c r="J13" s="46"/>
      <c r="K13" s="45"/>
      <c r="L13" s="46"/>
      <c r="M13" s="46"/>
      <c r="N13" s="47" t="str">
        <f t="shared" si="0"/>
        <v/>
      </c>
      <c r="O13" s="45"/>
      <c r="P13" s="45"/>
      <c r="Q13" s="46"/>
      <c r="R13" s="45"/>
      <c r="S13" s="45"/>
      <c r="T13" s="45"/>
      <c r="U13" s="45"/>
      <c r="V13" s="45"/>
      <c r="W13" s="45"/>
      <c r="X13" s="47" t="str">
        <f>IFERROR(VLOOKUP(W13,Lookups!$G$2:$H$77,2,FALSE),"")</f>
        <v/>
      </c>
      <c r="Y13" s="45"/>
      <c r="Z13" s="45"/>
      <c r="AA13" s="45"/>
      <c r="AB13" s="45"/>
      <c r="AC13" s="45"/>
      <c r="AD13" s="46"/>
      <c r="AE13" s="46"/>
      <c r="AF13" s="47" t="str">
        <f t="shared" si="2"/>
        <v/>
      </c>
      <c r="AG13" s="45"/>
      <c r="AH13" s="45"/>
      <c r="AI13" s="45"/>
      <c r="AJ13" s="47" t="str">
        <f>IFERROR(VLOOKUP(AI13,Lookups!$W$2:$X$15,2,FALSE),"")</f>
        <v/>
      </c>
      <c r="AK13" s="45"/>
      <c r="AL13" s="45"/>
      <c r="AM13" s="46"/>
    </row>
    <row r="14" spans="1:39" s="15" customFormat="1" x14ac:dyDescent="0.25">
      <c r="A14" s="45"/>
      <c r="B14" s="45"/>
      <c r="C14" s="45"/>
      <c r="D14" s="46"/>
      <c r="E14" s="46"/>
      <c r="F14" s="45"/>
      <c r="G14" s="47" t="str">
        <f>IFERROR(VLOOKUP(F14,Lookups!$D$2:$E$18,2,FALSE),"")</f>
        <v/>
      </c>
      <c r="H14" s="45"/>
      <c r="I14" s="45"/>
      <c r="J14" s="46"/>
      <c r="K14" s="45"/>
      <c r="L14" s="46"/>
      <c r="M14" s="46"/>
      <c r="N14" s="47" t="str">
        <f t="shared" si="0"/>
        <v/>
      </c>
      <c r="O14" s="45"/>
      <c r="P14" s="45"/>
      <c r="Q14" s="46"/>
      <c r="R14" s="45"/>
      <c r="S14" s="45"/>
      <c r="T14" s="45"/>
      <c r="U14" s="45"/>
      <c r="V14" s="45"/>
      <c r="W14" s="45"/>
      <c r="X14" s="47" t="str">
        <f>IFERROR(VLOOKUP(W14,Lookups!$G$2:$H$77,2,FALSE),"")</f>
        <v/>
      </c>
      <c r="Y14" s="45"/>
      <c r="Z14" s="45"/>
      <c r="AA14" s="45"/>
      <c r="AB14" s="45"/>
      <c r="AC14" s="45"/>
      <c r="AD14" s="46"/>
      <c r="AE14" s="46"/>
      <c r="AF14" s="47" t="str">
        <f t="shared" si="2"/>
        <v/>
      </c>
      <c r="AG14" s="45"/>
      <c r="AH14" s="45"/>
      <c r="AI14" s="45"/>
      <c r="AJ14" s="47" t="str">
        <f>IFERROR(VLOOKUP(AI14,Lookups!$W$2:$X$15,2,FALSE),"")</f>
        <v/>
      </c>
      <c r="AK14" s="45"/>
      <c r="AL14" s="45"/>
      <c r="AM14" s="46"/>
    </row>
    <row r="15" spans="1:39" s="15" customFormat="1" x14ac:dyDescent="0.25">
      <c r="A15" s="45"/>
      <c r="B15" s="45"/>
      <c r="C15" s="45"/>
      <c r="D15" s="46"/>
      <c r="E15" s="46"/>
      <c r="F15" s="45"/>
      <c r="G15" s="47" t="str">
        <f>IFERROR(VLOOKUP(F15,Lookups!$D$2:$E$18,2,FALSE),"")</f>
        <v/>
      </c>
      <c r="H15" s="45"/>
      <c r="I15" s="45"/>
      <c r="J15" s="46"/>
      <c r="K15" s="45"/>
      <c r="L15" s="46"/>
      <c r="M15" s="46"/>
      <c r="N15" s="47" t="str">
        <f t="shared" si="0"/>
        <v/>
      </c>
      <c r="O15" s="45"/>
      <c r="P15" s="45"/>
      <c r="Q15" s="46"/>
      <c r="R15" s="45"/>
      <c r="S15" s="45"/>
      <c r="T15" s="45"/>
      <c r="U15" s="45"/>
      <c r="V15" s="45"/>
      <c r="W15" s="45"/>
      <c r="X15" s="47" t="str">
        <f>IFERROR(VLOOKUP(W15,Lookups!$G$2:$H$77,2,FALSE),"")</f>
        <v/>
      </c>
      <c r="Y15" s="45"/>
      <c r="Z15" s="45"/>
      <c r="AA15" s="45"/>
      <c r="AB15" s="45"/>
      <c r="AC15" s="45"/>
      <c r="AD15" s="46"/>
      <c r="AE15" s="46"/>
      <c r="AF15" s="47" t="str">
        <f t="shared" si="2"/>
        <v/>
      </c>
      <c r="AG15" s="45"/>
      <c r="AH15" s="45"/>
      <c r="AI15" s="45"/>
      <c r="AJ15" s="47" t="str">
        <f>IFERROR(VLOOKUP(AI15,Lookups!$W$2:$X$15,2,FALSE),"")</f>
        <v/>
      </c>
      <c r="AK15" s="45"/>
      <c r="AL15" s="45"/>
      <c r="AM15" s="46"/>
    </row>
    <row r="16" spans="1:39" s="15" customFormat="1" x14ac:dyDescent="0.25">
      <c r="A16" s="45"/>
      <c r="B16" s="45"/>
      <c r="C16" s="45"/>
      <c r="D16" s="46"/>
      <c r="E16" s="46"/>
      <c r="F16" s="45"/>
      <c r="G16" s="47" t="str">
        <f>IFERROR(VLOOKUP(F16,Lookups!$D$2:$E$18,2,FALSE),"")</f>
        <v/>
      </c>
      <c r="H16" s="45"/>
      <c r="I16" s="45"/>
      <c r="J16" s="46"/>
      <c r="K16" s="45"/>
      <c r="L16" s="46"/>
      <c r="M16" s="46"/>
      <c r="N16" s="47" t="str">
        <f t="shared" si="0"/>
        <v/>
      </c>
      <c r="O16" s="45"/>
      <c r="P16" s="45"/>
      <c r="Q16" s="46"/>
      <c r="R16" s="45"/>
      <c r="S16" s="45"/>
      <c r="T16" s="45"/>
      <c r="U16" s="45"/>
      <c r="V16" s="45"/>
      <c r="W16" s="45"/>
      <c r="X16" s="47" t="str">
        <f>IFERROR(VLOOKUP(W16,Lookups!$G$2:$H$77,2,FALSE),"")</f>
        <v/>
      </c>
      <c r="Y16" s="45"/>
      <c r="Z16" s="45"/>
      <c r="AA16" s="45"/>
      <c r="AB16" s="45"/>
      <c r="AC16" s="45"/>
      <c r="AD16" s="46"/>
      <c r="AE16" s="46"/>
      <c r="AF16" s="47" t="str">
        <f t="shared" si="2"/>
        <v/>
      </c>
      <c r="AG16" s="45"/>
      <c r="AH16" s="45"/>
      <c r="AI16" s="45"/>
      <c r="AJ16" s="47" t="str">
        <f>IFERROR(VLOOKUP(AI16,Lookups!$W$2:$X$15,2,FALSE),"")</f>
        <v/>
      </c>
      <c r="AK16" s="45"/>
      <c r="AL16" s="45"/>
      <c r="AM16" s="46"/>
    </row>
    <row r="17" spans="1:39" s="15" customFormat="1" x14ac:dyDescent="0.25">
      <c r="A17" s="45"/>
      <c r="B17" s="45"/>
      <c r="C17" s="45"/>
      <c r="D17" s="46"/>
      <c r="E17" s="46"/>
      <c r="F17" s="45"/>
      <c r="G17" s="47" t="str">
        <f>IFERROR(VLOOKUP(F17,Lookups!$D$2:$E$18,2,FALSE),"")</f>
        <v/>
      </c>
      <c r="H17" s="45"/>
      <c r="I17" s="45"/>
      <c r="J17" s="46"/>
      <c r="K17" s="45"/>
      <c r="L17" s="46"/>
      <c r="M17" s="46"/>
      <c r="N17" s="47" t="str">
        <f t="shared" si="0"/>
        <v/>
      </c>
      <c r="O17" s="45"/>
      <c r="P17" s="45"/>
      <c r="Q17" s="46"/>
      <c r="R17" s="45"/>
      <c r="S17" s="45"/>
      <c r="T17" s="45"/>
      <c r="U17" s="45"/>
      <c r="V17" s="45"/>
      <c r="W17" s="45"/>
      <c r="X17" s="47" t="str">
        <f>IFERROR(VLOOKUP(W17,Lookups!$G$2:$H$77,2,FALSE),"")</f>
        <v/>
      </c>
      <c r="Y17" s="45"/>
      <c r="Z17" s="45"/>
      <c r="AA17" s="45"/>
      <c r="AB17" s="45"/>
      <c r="AC17" s="45"/>
      <c r="AD17" s="46"/>
      <c r="AE17" s="46"/>
      <c r="AF17" s="47" t="str">
        <f t="shared" si="2"/>
        <v/>
      </c>
      <c r="AG17" s="45"/>
      <c r="AH17" s="45"/>
      <c r="AI17" s="45"/>
      <c r="AJ17" s="47" t="str">
        <f>IFERROR(VLOOKUP(AI17,Lookups!$W$2:$X$15,2,FALSE),"")</f>
        <v/>
      </c>
      <c r="AK17" s="45"/>
      <c r="AL17" s="45"/>
      <c r="AM17" s="46"/>
    </row>
    <row r="18" spans="1:39" s="15" customFormat="1" x14ac:dyDescent="0.25">
      <c r="A18" s="45"/>
      <c r="B18" s="45"/>
      <c r="C18" s="45"/>
      <c r="D18" s="46"/>
      <c r="E18" s="46"/>
      <c r="F18" s="45"/>
      <c r="G18" s="47" t="str">
        <f>IFERROR(VLOOKUP(F18,Lookups!$D$2:$E$18,2,FALSE),"")</f>
        <v/>
      </c>
      <c r="H18" s="45"/>
      <c r="I18" s="45"/>
      <c r="J18" s="46"/>
      <c r="K18" s="45"/>
      <c r="L18" s="46"/>
      <c r="M18" s="46"/>
      <c r="N18" s="47" t="str">
        <f t="shared" si="0"/>
        <v/>
      </c>
      <c r="O18" s="45"/>
      <c r="P18" s="45"/>
      <c r="Q18" s="46"/>
      <c r="R18" s="45"/>
      <c r="S18" s="45"/>
      <c r="T18" s="45"/>
      <c r="U18" s="45"/>
      <c r="V18" s="45"/>
      <c r="W18" s="45"/>
      <c r="X18" s="47" t="str">
        <f>IFERROR(VLOOKUP(W18,Lookups!$G$2:$H$77,2,FALSE),"")</f>
        <v/>
      </c>
      <c r="Y18" s="45"/>
      <c r="Z18" s="45"/>
      <c r="AA18" s="45"/>
      <c r="AB18" s="45"/>
      <c r="AC18" s="45"/>
      <c r="AD18" s="46"/>
      <c r="AE18" s="46"/>
      <c r="AF18" s="47" t="str">
        <f t="shared" si="2"/>
        <v/>
      </c>
      <c r="AG18" s="45"/>
      <c r="AH18" s="45"/>
      <c r="AI18" s="45"/>
      <c r="AJ18" s="47" t="str">
        <f>IFERROR(VLOOKUP(AI18,Lookups!$W$2:$X$15,2,FALSE),"")</f>
        <v/>
      </c>
      <c r="AK18" s="45"/>
      <c r="AL18" s="45"/>
      <c r="AM18" s="46"/>
    </row>
    <row r="19" spans="1:39" s="15" customFormat="1" x14ac:dyDescent="0.25">
      <c r="A19" s="45"/>
      <c r="B19" s="45"/>
      <c r="C19" s="45"/>
      <c r="D19" s="46"/>
      <c r="E19" s="46"/>
      <c r="F19" s="45"/>
      <c r="G19" s="47" t="str">
        <f>IFERROR(VLOOKUP(F19,Lookups!$D$2:$E$18,2,FALSE),"")</f>
        <v/>
      </c>
      <c r="H19" s="45"/>
      <c r="I19" s="45"/>
      <c r="J19" s="46"/>
      <c r="K19" s="45"/>
      <c r="L19" s="46"/>
      <c r="M19" s="46"/>
      <c r="N19" s="47" t="str">
        <f t="shared" si="0"/>
        <v/>
      </c>
      <c r="O19" s="45"/>
      <c r="P19" s="45"/>
      <c r="Q19" s="46"/>
      <c r="R19" s="45"/>
      <c r="S19" s="45"/>
      <c r="T19" s="45"/>
      <c r="U19" s="45"/>
      <c r="V19" s="45"/>
      <c r="W19" s="45"/>
      <c r="X19" s="47" t="str">
        <f>IFERROR(VLOOKUP(W19,Lookups!$G$2:$H$77,2,FALSE),"")</f>
        <v/>
      </c>
      <c r="Y19" s="45"/>
      <c r="Z19" s="45"/>
      <c r="AA19" s="45"/>
      <c r="AB19" s="45"/>
      <c r="AC19" s="45"/>
      <c r="AD19" s="46"/>
      <c r="AE19" s="46"/>
      <c r="AF19" s="47" t="str">
        <f t="shared" si="2"/>
        <v/>
      </c>
      <c r="AG19" s="45"/>
      <c r="AH19" s="45"/>
      <c r="AI19" s="45"/>
      <c r="AJ19" s="47" t="str">
        <f>IFERROR(VLOOKUP(AI19,Lookups!$W$2:$X$15,2,FALSE),"")</f>
        <v/>
      </c>
      <c r="AK19" s="45"/>
      <c r="AL19" s="45"/>
      <c r="AM19" s="46"/>
    </row>
    <row r="20" spans="1:39" s="15" customFormat="1" x14ac:dyDescent="0.25">
      <c r="A20" s="45"/>
      <c r="B20" s="45"/>
      <c r="C20" s="45"/>
      <c r="D20" s="46"/>
      <c r="E20" s="46"/>
      <c r="F20" s="45"/>
      <c r="G20" s="47" t="str">
        <f>IFERROR(VLOOKUP(F20,Lookups!$D$2:$E$18,2,FALSE),"")</f>
        <v/>
      </c>
      <c r="H20" s="45"/>
      <c r="I20" s="45"/>
      <c r="J20" s="46"/>
      <c r="K20" s="45"/>
      <c r="L20" s="46"/>
      <c r="M20" s="46"/>
      <c r="N20" s="47" t="str">
        <f t="shared" si="0"/>
        <v/>
      </c>
      <c r="O20" s="45"/>
      <c r="P20" s="45"/>
      <c r="Q20" s="46"/>
      <c r="R20" s="45"/>
      <c r="S20" s="45"/>
      <c r="T20" s="45"/>
      <c r="U20" s="45"/>
      <c r="V20" s="45"/>
      <c r="W20" s="45"/>
      <c r="X20" s="47" t="str">
        <f>IFERROR(VLOOKUP(W20,Lookups!$G$2:$H$77,2,FALSE),"")</f>
        <v/>
      </c>
      <c r="Y20" s="45"/>
      <c r="Z20" s="45"/>
      <c r="AA20" s="45"/>
      <c r="AB20" s="45"/>
      <c r="AC20" s="45"/>
      <c r="AD20" s="46"/>
      <c r="AE20" s="46"/>
      <c r="AF20" s="47" t="str">
        <f t="shared" si="2"/>
        <v/>
      </c>
      <c r="AG20" s="45"/>
      <c r="AH20" s="45"/>
      <c r="AI20" s="45"/>
      <c r="AJ20" s="47" t="str">
        <f>IFERROR(VLOOKUP(AI20,Lookups!$W$2:$X$15,2,FALSE),"")</f>
        <v/>
      </c>
      <c r="AK20" s="45"/>
      <c r="AL20" s="45"/>
      <c r="AM20" s="46"/>
    </row>
    <row r="21" spans="1:39" s="15" customFormat="1" x14ac:dyDescent="0.25">
      <c r="A21" s="45"/>
      <c r="B21" s="45"/>
      <c r="C21" s="45"/>
      <c r="D21" s="46"/>
      <c r="E21" s="46"/>
      <c r="F21" s="45"/>
      <c r="G21" s="47" t="str">
        <f>IFERROR(VLOOKUP(F21,Lookups!$D$2:$E$18,2,FALSE),"")</f>
        <v/>
      </c>
      <c r="H21" s="45"/>
      <c r="I21" s="45"/>
      <c r="J21" s="46"/>
      <c r="K21" s="45"/>
      <c r="L21" s="46"/>
      <c r="M21" s="46"/>
      <c r="N21" s="47" t="str">
        <f t="shared" si="0"/>
        <v/>
      </c>
      <c r="O21" s="45"/>
      <c r="P21" s="45"/>
      <c r="Q21" s="46"/>
      <c r="R21" s="45"/>
      <c r="S21" s="45"/>
      <c r="T21" s="45"/>
      <c r="U21" s="45"/>
      <c r="V21" s="45"/>
      <c r="W21" s="45"/>
      <c r="X21" s="47" t="str">
        <f>IFERROR(VLOOKUP(W21,Lookups!$G$2:$H$77,2,FALSE),"")</f>
        <v/>
      </c>
      <c r="Y21" s="45"/>
      <c r="Z21" s="45"/>
      <c r="AA21" s="45"/>
      <c r="AB21" s="45"/>
      <c r="AC21" s="45"/>
      <c r="AD21" s="46"/>
      <c r="AE21" s="46"/>
      <c r="AF21" s="47" t="str">
        <f t="shared" si="2"/>
        <v/>
      </c>
      <c r="AG21" s="45"/>
      <c r="AH21" s="45"/>
      <c r="AI21" s="45"/>
      <c r="AJ21" s="47" t="str">
        <f>IFERROR(VLOOKUP(AI21,Lookups!$W$2:$X$15,2,FALSE),"")</f>
        <v/>
      </c>
      <c r="AK21" s="45"/>
      <c r="AL21" s="45"/>
      <c r="AM21" s="46"/>
    </row>
    <row r="22" spans="1:39" s="15" customFormat="1" x14ac:dyDescent="0.25">
      <c r="A22" s="45"/>
      <c r="B22" s="45"/>
      <c r="C22" s="45"/>
      <c r="D22" s="46"/>
      <c r="E22" s="46"/>
      <c r="F22" s="45"/>
      <c r="G22" s="47" t="str">
        <f>IFERROR(VLOOKUP(F22,Lookups!$D$2:$E$18,2,FALSE),"")</f>
        <v/>
      </c>
      <c r="H22" s="45"/>
      <c r="I22" s="45"/>
      <c r="J22" s="46"/>
      <c r="K22" s="45"/>
      <c r="L22" s="46"/>
      <c r="M22" s="46"/>
      <c r="N22" s="47" t="str">
        <f t="shared" si="0"/>
        <v/>
      </c>
      <c r="O22" s="45"/>
      <c r="P22" s="45"/>
      <c r="Q22" s="46"/>
      <c r="R22" s="45"/>
      <c r="S22" s="45"/>
      <c r="T22" s="45"/>
      <c r="U22" s="45"/>
      <c r="V22" s="45"/>
      <c r="W22" s="45"/>
      <c r="X22" s="47" t="str">
        <f>IFERROR(VLOOKUP(W22,Lookups!$G$2:$H$77,2,FALSE),"")</f>
        <v/>
      </c>
      <c r="Y22" s="45"/>
      <c r="Z22" s="45"/>
      <c r="AA22" s="45"/>
      <c r="AB22" s="45"/>
      <c r="AC22" s="45"/>
      <c r="AD22" s="46"/>
      <c r="AE22" s="46"/>
      <c r="AF22" s="47" t="str">
        <f t="shared" si="2"/>
        <v/>
      </c>
      <c r="AG22" s="45"/>
      <c r="AH22" s="45"/>
      <c r="AI22" s="45"/>
      <c r="AJ22" s="47" t="str">
        <f>IFERROR(VLOOKUP(AI22,Lookups!$W$2:$X$15,2,FALSE),"")</f>
        <v/>
      </c>
      <c r="AK22" s="45"/>
      <c r="AL22" s="45"/>
      <c r="AM22" s="46"/>
    </row>
    <row r="23" spans="1:39" s="15" customFormat="1" x14ac:dyDescent="0.25">
      <c r="A23" s="45"/>
      <c r="B23" s="45"/>
      <c r="C23" s="45"/>
      <c r="D23" s="46"/>
      <c r="E23" s="46"/>
      <c r="F23" s="45"/>
      <c r="G23" s="47" t="str">
        <f>IFERROR(VLOOKUP(F23,Lookups!$D$2:$E$18,2,FALSE),"")</f>
        <v/>
      </c>
      <c r="H23" s="45"/>
      <c r="I23" s="45"/>
      <c r="J23" s="46"/>
      <c r="K23" s="45"/>
      <c r="L23" s="46"/>
      <c r="M23" s="46"/>
      <c r="N23" s="47" t="str">
        <f t="shared" si="0"/>
        <v/>
      </c>
      <c r="O23" s="45"/>
      <c r="P23" s="45"/>
      <c r="Q23" s="46"/>
      <c r="R23" s="45"/>
      <c r="S23" s="45"/>
      <c r="T23" s="45"/>
      <c r="U23" s="45"/>
      <c r="V23" s="45"/>
      <c r="W23" s="45"/>
      <c r="X23" s="47" t="str">
        <f>IFERROR(VLOOKUP(W23,Lookups!$G$2:$H$77,2,FALSE),"")</f>
        <v/>
      </c>
      <c r="Y23" s="45"/>
      <c r="Z23" s="45"/>
      <c r="AA23" s="45"/>
      <c r="AB23" s="45"/>
      <c r="AC23" s="45"/>
      <c r="AD23" s="46"/>
      <c r="AE23" s="46"/>
      <c r="AF23" s="47" t="str">
        <f t="shared" si="2"/>
        <v/>
      </c>
      <c r="AG23" s="45"/>
      <c r="AH23" s="45"/>
      <c r="AI23" s="45"/>
      <c r="AJ23" s="47" t="str">
        <f>IFERROR(VLOOKUP(AI23,Lookups!$W$2:$X$15,2,FALSE),"")</f>
        <v/>
      </c>
      <c r="AK23" s="45"/>
      <c r="AL23" s="45"/>
      <c r="AM23" s="46"/>
    </row>
    <row r="24" spans="1:39" s="15" customFormat="1" x14ac:dyDescent="0.25">
      <c r="A24" s="45"/>
      <c r="B24" s="45"/>
      <c r="C24" s="45"/>
      <c r="D24" s="46"/>
      <c r="E24" s="46"/>
      <c r="F24" s="45"/>
      <c r="G24" s="47" t="str">
        <f>IFERROR(VLOOKUP(F24,Lookups!$D$2:$E$18,2,FALSE),"")</f>
        <v/>
      </c>
      <c r="H24" s="45"/>
      <c r="I24" s="45"/>
      <c r="J24" s="46"/>
      <c r="K24" s="45"/>
      <c r="L24" s="46"/>
      <c r="M24" s="46"/>
      <c r="N24" s="47" t="str">
        <f t="shared" si="0"/>
        <v/>
      </c>
      <c r="O24" s="45"/>
      <c r="P24" s="45"/>
      <c r="Q24" s="46"/>
      <c r="R24" s="45"/>
      <c r="S24" s="45"/>
      <c r="T24" s="45"/>
      <c r="U24" s="45"/>
      <c r="V24" s="45"/>
      <c r="W24" s="45"/>
      <c r="X24" s="47" t="str">
        <f>IFERROR(VLOOKUP(W24,Lookups!$G$2:$H$77,2,FALSE),"")</f>
        <v/>
      </c>
      <c r="Y24" s="45"/>
      <c r="Z24" s="45"/>
      <c r="AA24" s="45"/>
      <c r="AB24" s="45"/>
      <c r="AC24" s="45"/>
      <c r="AD24" s="46"/>
      <c r="AE24" s="46"/>
      <c r="AF24" s="47" t="str">
        <f t="shared" si="2"/>
        <v/>
      </c>
      <c r="AG24" s="45"/>
      <c r="AH24" s="45"/>
      <c r="AI24" s="45"/>
      <c r="AJ24" s="47" t="str">
        <f>IFERROR(VLOOKUP(AI24,Lookups!$W$2:$X$15,2,FALSE),"")</f>
        <v/>
      </c>
      <c r="AK24" s="45"/>
      <c r="AL24" s="45"/>
      <c r="AM24" s="46"/>
    </row>
    <row r="25" spans="1:39" s="15" customFormat="1" x14ac:dyDescent="0.25">
      <c r="A25" s="45"/>
      <c r="B25" s="45"/>
      <c r="C25" s="45"/>
      <c r="D25" s="46"/>
      <c r="E25" s="46"/>
      <c r="F25" s="45"/>
      <c r="G25" s="47" t="str">
        <f>IFERROR(VLOOKUP(F25,Lookups!$D$2:$E$18,2,FALSE),"")</f>
        <v/>
      </c>
      <c r="H25" s="45"/>
      <c r="I25" s="45"/>
      <c r="J25" s="46"/>
      <c r="K25" s="45"/>
      <c r="L25" s="46"/>
      <c r="M25" s="46"/>
      <c r="N25" s="47" t="str">
        <f t="shared" si="0"/>
        <v/>
      </c>
      <c r="O25" s="45"/>
      <c r="P25" s="45"/>
      <c r="Q25" s="46"/>
      <c r="R25" s="45"/>
      <c r="S25" s="45"/>
      <c r="T25" s="45"/>
      <c r="U25" s="45"/>
      <c r="V25" s="45"/>
      <c r="W25" s="45"/>
      <c r="X25" s="47" t="str">
        <f>IFERROR(VLOOKUP(W25,Lookups!$G$2:$H$77,2,FALSE),"")</f>
        <v/>
      </c>
      <c r="Y25" s="45"/>
      <c r="Z25" s="45"/>
      <c r="AA25" s="45"/>
      <c r="AB25" s="45"/>
      <c r="AC25" s="45"/>
      <c r="AD25" s="46"/>
      <c r="AE25" s="46"/>
      <c r="AF25" s="47" t="str">
        <f t="shared" si="2"/>
        <v/>
      </c>
      <c r="AG25" s="45"/>
      <c r="AH25" s="45"/>
      <c r="AI25" s="45"/>
      <c r="AJ25" s="47" t="str">
        <f>IFERROR(VLOOKUP(AI25,Lookups!$W$2:$X$15,2,FALSE),"")</f>
        <v/>
      </c>
      <c r="AK25" s="45"/>
      <c r="AL25" s="45"/>
      <c r="AM25" s="46"/>
    </row>
    <row r="26" spans="1:39" s="15" customFormat="1" x14ac:dyDescent="0.25">
      <c r="A26" s="45"/>
      <c r="B26" s="45"/>
      <c r="C26" s="45"/>
      <c r="D26" s="46"/>
      <c r="E26" s="46"/>
      <c r="F26" s="45"/>
      <c r="G26" s="47" t="str">
        <f>IFERROR(VLOOKUP(F26,Lookups!$D$2:$E$18,2,FALSE),"")</f>
        <v/>
      </c>
      <c r="H26" s="45"/>
      <c r="I26" s="45"/>
      <c r="J26" s="46"/>
      <c r="K26" s="45"/>
      <c r="L26" s="46"/>
      <c r="M26" s="46"/>
      <c r="N26" s="47" t="str">
        <f t="shared" si="0"/>
        <v/>
      </c>
      <c r="O26" s="45"/>
      <c r="P26" s="45"/>
      <c r="Q26" s="46"/>
      <c r="R26" s="45"/>
      <c r="S26" s="45"/>
      <c r="T26" s="45"/>
      <c r="U26" s="45"/>
      <c r="V26" s="45"/>
      <c r="W26" s="45"/>
      <c r="X26" s="47" t="str">
        <f>IFERROR(VLOOKUP(W26,Lookups!$G$2:$H$77,2,FALSE),"")</f>
        <v/>
      </c>
      <c r="Y26" s="45"/>
      <c r="Z26" s="45"/>
      <c r="AA26" s="45"/>
      <c r="AB26" s="45"/>
      <c r="AC26" s="45"/>
      <c r="AD26" s="46"/>
      <c r="AE26" s="46"/>
      <c r="AF26" s="47" t="str">
        <f t="shared" si="2"/>
        <v/>
      </c>
      <c r="AG26" s="45"/>
      <c r="AH26" s="45"/>
      <c r="AI26" s="45"/>
      <c r="AJ26" s="47" t="str">
        <f>IFERROR(VLOOKUP(AI26,Lookups!$W$2:$X$15,2,FALSE),"")</f>
        <v/>
      </c>
      <c r="AK26" s="45"/>
      <c r="AL26" s="45"/>
      <c r="AM26" s="46"/>
    </row>
    <row r="27" spans="1:39" s="15" customFormat="1" x14ac:dyDescent="0.25">
      <c r="A27" s="45"/>
      <c r="B27" s="45"/>
      <c r="C27" s="45"/>
      <c r="D27" s="46"/>
      <c r="E27" s="46"/>
      <c r="F27" s="45"/>
      <c r="G27" s="47" t="str">
        <f>IFERROR(VLOOKUP(F27,Lookups!$D$2:$E$18,2,FALSE),"")</f>
        <v/>
      </c>
      <c r="H27" s="45"/>
      <c r="I27" s="45"/>
      <c r="J27" s="46"/>
      <c r="K27" s="45"/>
      <c r="L27" s="46"/>
      <c r="M27" s="46"/>
      <c r="N27" s="47" t="str">
        <f t="shared" si="0"/>
        <v/>
      </c>
      <c r="O27" s="45"/>
      <c r="P27" s="45"/>
      <c r="Q27" s="46"/>
      <c r="R27" s="45"/>
      <c r="S27" s="45"/>
      <c r="T27" s="45"/>
      <c r="U27" s="45"/>
      <c r="V27" s="45"/>
      <c r="W27" s="45"/>
      <c r="X27" s="47" t="str">
        <f>IFERROR(VLOOKUP(W27,Lookups!$G$2:$H$77,2,FALSE),"")</f>
        <v/>
      </c>
      <c r="Y27" s="45"/>
      <c r="Z27" s="45"/>
      <c r="AA27" s="45"/>
      <c r="AB27" s="45"/>
      <c r="AC27" s="45"/>
      <c r="AD27" s="46"/>
      <c r="AE27" s="46"/>
      <c r="AF27" s="47" t="str">
        <f t="shared" si="2"/>
        <v/>
      </c>
      <c r="AG27" s="45"/>
      <c r="AH27" s="45"/>
      <c r="AI27" s="45"/>
      <c r="AJ27" s="47" t="str">
        <f>IFERROR(VLOOKUP(AI27,Lookups!$W$2:$X$15,2,FALSE),"")</f>
        <v/>
      </c>
      <c r="AK27" s="45"/>
      <c r="AL27" s="45"/>
      <c r="AM27" s="46"/>
    </row>
    <row r="28" spans="1:39" s="15" customFormat="1" x14ac:dyDescent="0.25">
      <c r="A28" s="45"/>
      <c r="B28" s="45"/>
      <c r="C28" s="45"/>
      <c r="D28" s="46"/>
      <c r="E28" s="46"/>
      <c r="F28" s="45"/>
      <c r="G28" s="47" t="str">
        <f>IFERROR(VLOOKUP(F28,Lookups!$D$2:$E$18,2,FALSE),"")</f>
        <v/>
      </c>
      <c r="H28" s="45"/>
      <c r="I28" s="45"/>
      <c r="J28" s="46"/>
      <c r="K28" s="45"/>
      <c r="L28" s="46"/>
      <c r="M28" s="46"/>
      <c r="N28" s="47" t="str">
        <f t="shared" si="0"/>
        <v/>
      </c>
      <c r="O28" s="45"/>
      <c r="P28" s="45"/>
      <c r="Q28" s="46"/>
      <c r="R28" s="45"/>
      <c r="S28" s="45"/>
      <c r="T28" s="45"/>
      <c r="U28" s="45"/>
      <c r="V28" s="45"/>
      <c r="W28" s="45"/>
      <c r="X28" s="47" t="str">
        <f>IFERROR(VLOOKUP(W28,Lookups!$G$2:$H$77,2,FALSE),"")</f>
        <v/>
      </c>
      <c r="Y28" s="45"/>
      <c r="Z28" s="45"/>
      <c r="AA28" s="45"/>
      <c r="AB28" s="45"/>
      <c r="AC28" s="45"/>
      <c r="AD28" s="46"/>
      <c r="AE28" s="46"/>
      <c r="AF28" s="47" t="str">
        <f t="shared" si="2"/>
        <v/>
      </c>
      <c r="AG28" s="45"/>
      <c r="AH28" s="45"/>
      <c r="AI28" s="45"/>
      <c r="AJ28" s="47" t="str">
        <f>IFERROR(VLOOKUP(AI28,Lookups!$W$2:$X$15,2,FALSE),"")</f>
        <v/>
      </c>
      <c r="AK28" s="45"/>
      <c r="AL28" s="45"/>
      <c r="AM28" s="46"/>
    </row>
    <row r="29" spans="1:39" s="15" customFormat="1" x14ac:dyDescent="0.25">
      <c r="A29" s="45"/>
      <c r="B29" s="45"/>
      <c r="C29" s="45"/>
      <c r="D29" s="46"/>
      <c r="E29" s="46"/>
      <c r="F29" s="45"/>
      <c r="G29" s="47" t="str">
        <f>IFERROR(VLOOKUP(F29,Lookups!$D$2:$E$18,2,FALSE),"")</f>
        <v/>
      </c>
      <c r="H29" s="45"/>
      <c r="I29" s="45"/>
      <c r="J29" s="46"/>
      <c r="K29" s="45"/>
      <c r="L29" s="46"/>
      <c r="M29" s="46"/>
      <c r="N29" s="47" t="str">
        <f t="shared" si="0"/>
        <v/>
      </c>
      <c r="O29" s="45"/>
      <c r="P29" s="45"/>
      <c r="Q29" s="46"/>
      <c r="R29" s="45"/>
      <c r="S29" s="45"/>
      <c r="T29" s="45"/>
      <c r="U29" s="45"/>
      <c r="V29" s="45"/>
      <c r="W29" s="45"/>
      <c r="X29" s="47" t="str">
        <f>IFERROR(VLOOKUP(W29,Lookups!$G$2:$H$77,2,FALSE),"")</f>
        <v/>
      </c>
      <c r="Y29" s="45"/>
      <c r="Z29" s="45"/>
      <c r="AA29" s="45"/>
      <c r="AB29" s="45"/>
      <c r="AC29" s="45"/>
      <c r="AD29" s="46"/>
      <c r="AE29" s="46"/>
      <c r="AF29" s="47" t="str">
        <f t="shared" si="2"/>
        <v/>
      </c>
      <c r="AG29" s="45"/>
      <c r="AH29" s="45"/>
      <c r="AI29" s="45"/>
      <c r="AJ29" s="47" t="str">
        <f>IFERROR(VLOOKUP(AI29,Lookups!$W$2:$X$15,2,FALSE),"")</f>
        <v/>
      </c>
      <c r="AK29" s="45"/>
      <c r="AL29" s="45"/>
      <c r="AM29" s="46"/>
    </row>
    <row r="30" spans="1:39" s="15" customFormat="1" x14ac:dyDescent="0.25">
      <c r="A30" s="45"/>
      <c r="B30" s="45"/>
      <c r="C30" s="45"/>
      <c r="D30" s="46"/>
      <c r="E30" s="46"/>
      <c r="F30" s="45"/>
      <c r="G30" s="47" t="str">
        <f>IFERROR(VLOOKUP(F30,Lookups!$D$2:$E$18,2,FALSE),"")</f>
        <v/>
      </c>
      <c r="H30" s="45"/>
      <c r="I30" s="45"/>
      <c r="J30" s="46"/>
      <c r="K30" s="45"/>
      <c r="L30" s="46"/>
      <c r="M30" s="46"/>
      <c r="N30" s="47" t="str">
        <f t="shared" si="0"/>
        <v/>
      </c>
      <c r="O30" s="45"/>
      <c r="P30" s="45"/>
      <c r="Q30" s="46"/>
      <c r="R30" s="45"/>
      <c r="S30" s="45"/>
      <c r="T30" s="45"/>
      <c r="U30" s="45"/>
      <c r="V30" s="45"/>
      <c r="W30" s="45"/>
      <c r="X30" s="47" t="str">
        <f>IFERROR(VLOOKUP(W30,Lookups!$G$2:$H$77,2,FALSE),"")</f>
        <v/>
      </c>
      <c r="Y30" s="45"/>
      <c r="Z30" s="45"/>
      <c r="AA30" s="45"/>
      <c r="AB30" s="45"/>
      <c r="AC30" s="45"/>
      <c r="AD30" s="46"/>
      <c r="AE30" s="46"/>
      <c r="AF30" s="47" t="str">
        <f t="shared" si="2"/>
        <v/>
      </c>
      <c r="AG30" s="45"/>
      <c r="AH30" s="45"/>
      <c r="AI30" s="45"/>
      <c r="AJ30" s="47" t="str">
        <f>IFERROR(VLOOKUP(AI30,Lookups!$W$2:$X$15,2,FALSE),"")</f>
        <v/>
      </c>
      <c r="AK30" s="45"/>
      <c r="AL30" s="45"/>
      <c r="AM30" s="46"/>
    </row>
    <row r="31" spans="1:39" s="15" customFormat="1" x14ac:dyDescent="0.25">
      <c r="A31" s="45"/>
      <c r="B31" s="45"/>
      <c r="C31" s="45"/>
      <c r="D31" s="46"/>
      <c r="E31" s="46"/>
      <c r="F31" s="45"/>
      <c r="G31" s="47" t="str">
        <f>IFERROR(VLOOKUP(F31,Lookups!$D$2:$E$18,2,FALSE),"")</f>
        <v/>
      </c>
      <c r="H31" s="45"/>
      <c r="I31" s="45"/>
      <c r="J31" s="46"/>
      <c r="K31" s="45"/>
      <c r="L31" s="46"/>
      <c r="M31" s="46"/>
      <c r="N31" s="47" t="str">
        <f t="shared" si="0"/>
        <v/>
      </c>
      <c r="O31" s="45"/>
      <c r="P31" s="45"/>
      <c r="Q31" s="46"/>
      <c r="R31" s="45"/>
      <c r="S31" s="45"/>
      <c r="T31" s="45"/>
      <c r="U31" s="45"/>
      <c r="V31" s="45"/>
      <c r="W31" s="45"/>
      <c r="X31" s="47" t="str">
        <f>IFERROR(VLOOKUP(W31,Lookups!$G$2:$H$77,2,FALSE),"")</f>
        <v/>
      </c>
      <c r="Y31" s="45"/>
      <c r="Z31" s="45"/>
      <c r="AA31" s="45"/>
      <c r="AB31" s="45"/>
      <c r="AC31" s="45"/>
      <c r="AD31" s="46"/>
      <c r="AE31" s="46"/>
      <c r="AF31" s="47" t="str">
        <f t="shared" si="2"/>
        <v/>
      </c>
      <c r="AG31" s="45"/>
      <c r="AH31" s="45"/>
      <c r="AI31" s="45"/>
      <c r="AJ31" s="47" t="str">
        <f>IFERROR(VLOOKUP(AI31,Lookups!$W$2:$X$15,2,FALSE),"")</f>
        <v/>
      </c>
      <c r="AK31" s="45"/>
      <c r="AL31" s="45"/>
      <c r="AM31" s="46"/>
    </row>
    <row r="32" spans="1:39" s="15" customFormat="1" x14ac:dyDescent="0.25">
      <c r="A32" s="45"/>
      <c r="B32" s="45"/>
      <c r="C32" s="45"/>
      <c r="D32" s="46"/>
      <c r="E32" s="46"/>
      <c r="F32" s="45"/>
      <c r="G32" s="47" t="str">
        <f>IFERROR(VLOOKUP(F32,Lookups!$D$2:$E$18,2,FALSE),"")</f>
        <v/>
      </c>
      <c r="H32" s="45"/>
      <c r="I32" s="45"/>
      <c r="J32" s="46"/>
      <c r="K32" s="45"/>
      <c r="L32" s="46"/>
      <c r="M32" s="46"/>
      <c r="N32" s="47" t="str">
        <f t="shared" si="0"/>
        <v/>
      </c>
      <c r="O32" s="45"/>
      <c r="P32" s="45"/>
      <c r="Q32" s="46"/>
      <c r="R32" s="45"/>
      <c r="S32" s="45"/>
      <c r="T32" s="45"/>
      <c r="U32" s="45"/>
      <c r="V32" s="45"/>
      <c r="W32" s="45"/>
      <c r="X32" s="47" t="str">
        <f>IFERROR(VLOOKUP(W32,Lookups!$G$2:$H$77,2,FALSE),"")</f>
        <v/>
      </c>
      <c r="Y32" s="45"/>
      <c r="Z32" s="45"/>
      <c r="AA32" s="45"/>
      <c r="AB32" s="45"/>
      <c r="AC32" s="45"/>
      <c r="AD32" s="46"/>
      <c r="AE32" s="46"/>
      <c r="AF32" s="47" t="str">
        <f t="shared" si="2"/>
        <v/>
      </c>
      <c r="AG32" s="45"/>
      <c r="AH32" s="45"/>
      <c r="AI32" s="45"/>
      <c r="AJ32" s="47" t="str">
        <f>IFERROR(VLOOKUP(AI32,Lookups!$W$2:$X$15,2,FALSE),"")</f>
        <v/>
      </c>
      <c r="AK32" s="45"/>
      <c r="AL32" s="45"/>
      <c r="AM32" s="46"/>
    </row>
    <row r="33" spans="1:39" s="15" customFormat="1" x14ac:dyDescent="0.25">
      <c r="A33" s="45"/>
      <c r="B33" s="45"/>
      <c r="C33" s="45"/>
      <c r="D33" s="46"/>
      <c r="E33" s="46"/>
      <c r="F33" s="45"/>
      <c r="G33" s="47" t="str">
        <f>IFERROR(VLOOKUP(F33,Lookups!$D$2:$E$18,2,FALSE),"")</f>
        <v/>
      </c>
      <c r="H33" s="45"/>
      <c r="I33" s="45"/>
      <c r="J33" s="46"/>
      <c r="K33" s="45"/>
      <c r="L33" s="46"/>
      <c r="M33" s="46"/>
      <c r="N33" s="47" t="str">
        <f t="shared" si="0"/>
        <v/>
      </c>
      <c r="O33" s="45"/>
      <c r="P33" s="45"/>
      <c r="Q33" s="46"/>
      <c r="R33" s="45"/>
      <c r="S33" s="45"/>
      <c r="T33" s="45"/>
      <c r="U33" s="45"/>
      <c r="V33" s="45"/>
      <c r="W33" s="45"/>
      <c r="X33" s="47" t="str">
        <f>IFERROR(VLOOKUP(W33,Lookups!$G$2:$H$77,2,FALSE),"")</f>
        <v/>
      </c>
      <c r="Y33" s="45"/>
      <c r="Z33" s="45"/>
      <c r="AA33" s="45"/>
      <c r="AB33" s="45"/>
      <c r="AC33" s="45"/>
      <c r="AD33" s="46"/>
      <c r="AE33" s="46"/>
      <c r="AF33" s="47" t="str">
        <f t="shared" si="2"/>
        <v/>
      </c>
      <c r="AG33" s="45"/>
      <c r="AH33" s="45"/>
      <c r="AI33" s="45"/>
      <c r="AJ33" s="47" t="str">
        <f>IFERROR(VLOOKUP(AI33,Lookups!$W$2:$X$15,2,FALSE),"")</f>
        <v/>
      </c>
      <c r="AK33" s="45"/>
      <c r="AL33" s="45"/>
      <c r="AM33" s="46"/>
    </row>
    <row r="34" spans="1:39" s="15" customFormat="1" x14ac:dyDescent="0.25">
      <c r="A34" s="45"/>
      <c r="B34" s="45"/>
      <c r="C34" s="45"/>
      <c r="D34" s="46"/>
      <c r="E34" s="46"/>
      <c r="F34" s="45"/>
      <c r="G34" s="47" t="str">
        <f>IFERROR(VLOOKUP(F34,Lookups!$D$2:$E$18,2,FALSE),"")</f>
        <v/>
      </c>
      <c r="H34" s="45"/>
      <c r="I34" s="45"/>
      <c r="J34" s="46"/>
      <c r="K34" s="45"/>
      <c r="L34" s="46"/>
      <c r="M34" s="46"/>
      <c r="N34" s="47" t="str">
        <f t="shared" si="0"/>
        <v/>
      </c>
      <c r="O34" s="45"/>
      <c r="P34" s="45"/>
      <c r="Q34" s="46"/>
      <c r="R34" s="45"/>
      <c r="S34" s="45"/>
      <c r="T34" s="45"/>
      <c r="U34" s="45"/>
      <c r="V34" s="45"/>
      <c r="W34" s="45"/>
      <c r="X34" s="47" t="str">
        <f>IFERROR(VLOOKUP(W34,Lookups!$G$2:$H$77,2,FALSE),"")</f>
        <v/>
      </c>
      <c r="Y34" s="45"/>
      <c r="Z34" s="45"/>
      <c r="AA34" s="45"/>
      <c r="AB34" s="45"/>
      <c r="AC34" s="45"/>
      <c r="AD34" s="46"/>
      <c r="AE34" s="46"/>
      <c r="AF34" s="47" t="str">
        <f t="shared" si="2"/>
        <v/>
      </c>
      <c r="AG34" s="45"/>
      <c r="AH34" s="45"/>
      <c r="AI34" s="45"/>
      <c r="AJ34" s="47" t="str">
        <f>IFERROR(VLOOKUP(AI34,Lookups!$W$2:$X$15,2,FALSE),"")</f>
        <v/>
      </c>
      <c r="AK34" s="45"/>
      <c r="AL34" s="45"/>
      <c r="AM34" s="46"/>
    </row>
    <row r="35" spans="1:39" s="15" customFormat="1" x14ac:dyDescent="0.25">
      <c r="A35" s="45"/>
      <c r="B35" s="45"/>
      <c r="C35" s="45"/>
      <c r="D35" s="46"/>
      <c r="E35" s="46"/>
      <c r="F35" s="45"/>
      <c r="G35" s="47" t="str">
        <f>IFERROR(VLOOKUP(F35,Lookups!$D$2:$E$18,2,FALSE),"")</f>
        <v/>
      </c>
      <c r="H35" s="45"/>
      <c r="I35" s="45"/>
      <c r="J35" s="46"/>
      <c r="K35" s="45"/>
      <c r="L35" s="46"/>
      <c r="M35" s="46"/>
      <c r="N35" s="47" t="str">
        <f t="shared" ref="N35:N53" si="3">IF(OR(ISBLANK(L35),ISBLANK(M35)),"",(M35-L35)+1)</f>
        <v/>
      </c>
      <c r="O35" s="45"/>
      <c r="P35" s="45"/>
      <c r="Q35" s="46"/>
      <c r="R35" s="45"/>
      <c r="S35" s="45"/>
      <c r="T35" s="45"/>
      <c r="U35" s="45"/>
      <c r="V35" s="45"/>
      <c r="W35" s="45"/>
      <c r="X35" s="47" t="str">
        <f>IFERROR(VLOOKUP(W35,Lookups!$G$2:$H$77,2,FALSE),"")</f>
        <v/>
      </c>
      <c r="Y35" s="45"/>
      <c r="Z35" s="45"/>
      <c r="AA35" s="45"/>
      <c r="AB35" s="45"/>
      <c r="AC35" s="45"/>
      <c r="AD35" s="46"/>
      <c r="AE35" s="46"/>
      <c r="AF35" s="47" t="str">
        <f t="shared" si="2"/>
        <v/>
      </c>
      <c r="AG35" s="45"/>
      <c r="AH35" s="45"/>
      <c r="AI35" s="45"/>
      <c r="AJ35" s="47" t="str">
        <f>IFERROR(VLOOKUP(AI35,Lookups!$W$2:$X$15,2,FALSE),"")</f>
        <v/>
      </c>
      <c r="AK35" s="45"/>
      <c r="AL35" s="45"/>
      <c r="AM35" s="46"/>
    </row>
    <row r="36" spans="1:39" s="15" customFormat="1" x14ac:dyDescent="0.25">
      <c r="A36" s="45"/>
      <c r="B36" s="45"/>
      <c r="C36" s="45"/>
      <c r="D36" s="46"/>
      <c r="E36" s="46"/>
      <c r="F36" s="45"/>
      <c r="G36" s="47" t="str">
        <f>IFERROR(VLOOKUP(F36,Lookups!$D$2:$E$18,2,FALSE),"")</f>
        <v/>
      </c>
      <c r="H36" s="45"/>
      <c r="I36" s="45"/>
      <c r="J36" s="46"/>
      <c r="K36" s="45"/>
      <c r="L36" s="46"/>
      <c r="M36" s="46"/>
      <c r="N36" s="47" t="str">
        <f t="shared" si="3"/>
        <v/>
      </c>
      <c r="O36" s="45"/>
      <c r="P36" s="45"/>
      <c r="Q36" s="46"/>
      <c r="R36" s="45"/>
      <c r="S36" s="45"/>
      <c r="T36" s="45"/>
      <c r="U36" s="45"/>
      <c r="V36" s="45"/>
      <c r="W36" s="45"/>
      <c r="X36" s="47" t="str">
        <f>IFERROR(VLOOKUP(W36,Lookups!$G$2:$H$77,2,FALSE),"")</f>
        <v/>
      </c>
      <c r="Y36" s="45"/>
      <c r="Z36" s="45"/>
      <c r="AA36" s="45"/>
      <c r="AB36" s="45"/>
      <c r="AC36" s="45"/>
      <c r="AD36" s="46"/>
      <c r="AE36" s="46"/>
      <c r="AF36" s="47" t="str">
        <f t="shared" si="2"/>
        <v/>
      </c>
      <c r="AG36" s="45"/>
      <c r="AH36" s="45"/>
      <c r="AI36" s="45"/>
      <c r="AJ36" s="47" t="str">
        <f>IFERROR(VLOOKUP(AI36,Lookups!$W$2:$X$15,2,FALSE),"")</f>
        <v/>
      </c>
      <c r="AK36" s="45"/>
      <c r="AL36" s="45"/>
      <c r="AM36" s="46"/>
    </row>
    <row r="37" spans="1:39" s="15" customFormat="1" x14ac:dyDescent="0.25">
      <c r="A37" s="45"/>
      <c r="B37" s="45"/>
      <c r="C37" s="45"/>
      <c r="D37" s="46"/>
      <c r="E37" s="46"/>
      <c r="F37" s="45"/>
      <c r="G37" s="47" t="str">
        <f>IFERROR(VLOOKUP(F37,Lookups!$D$2:$E$18,2,FALSE),"")</f>
        <v/>
      </c>
      <c r="H37" s="45"/>
      <c r="I37" s="45"/>
      <c r="J37" s="46"/>
      <c r="K37" s="45"/>
      <c r="L37" s="46"/>
      <c r="M37" s="46"/>
      <c r="N37" s="47" t="str">
        <f t="shared" si="3"/>
        <v/>
      </c>
      <c r="O37" s="45"/>
      <c r="P37" s="45"/>
      <c r="Q37" s="46"/>
      <c r="R37" s="45"/>
      <c r="S37" s="45"/>
      <c r="T37" s="45"/>
      <c r="U37" s="45"/>
      <c r="V37" s="45"/>
      <c r="W37" s="45"/>
      <c r="X37" s="47" t="str">
        <f>IFERROR(VLOOKUP(W37,Lookups!$G$2:$H$77,2,FALSE),"")</f>
        <v/>
      </c>
      <c r="Y37" s="45"/>
      <c r="Z37" s="45"/>
      <c r="AA37" s="45"/>
      <c r="AB37" s="45"/>
      <c r="AC37" s="45"/>
      <c r="AD37" s="46"/>
      <c r="AE37" s="46"/>
      <c r="AF37" s="47" t="str">
        <f t="shared" si="2"/>
        <v/>
      </c>
      <c r="AG37" s="45"/>
      <c r="AH37" s="45"/>
      <c r="AI37" s="45"/>
      <c r="AJ37" s="47" t="str">
        <f>IFERROR(VLOOKUP(AI37,Lookups!$W$2:$X$15,2,FALSE),"")</f>
        <v/>
      </c>
      <c r="AK37" s="45"/>
      <c r="AL37" s="45"/>
      <c r="AM37" s="46"/>
    </row>
    <row r="38" spans="1:39" s="15" customFormat="1" x14ac:dyDescent="0.25">
      <c r="A38" s="45"/>
      <c r="B38" s="45"/>
      <c r="C38" s="45"/>
      <c r="D38" s="46"/>
      <c r="E38" s="46"/>
      <c r="F38" s="45"/>
      <c r="G38" s="47" t="str">
        <f>IFERROR(VLOOKUP(F38,Lookups!$D$2:$E$18,2,FALSE),"")</f>
        <v/>
      </c>
      <c r="H38" s="45"/>
      <c r="I38" s="45"/>
      <c r="J38" s="46"/>
      <c r="K38" s="45"/>
      <c r="L38" s="46"/>
      <c r="M38" s="46"/>
      <c r="N38" s="47" t="str">
        <f t="shared" si="3"/>
        <v/>
      </c>
      <c r="O38" s="45"/>
      <c r="P38" s="45"/>
      <c r="Q38" s="46"/>
      <c r="R38" s="45"/>
      <c r="S38" s="45"/>
      <c r="T38" s="45"/>
      <c r="U38" s="45"/>
      <c r="V38" s="45"/>
      <c r="W38" s="45"/>
      <c r="X38" s="47" t="str">
        <f>IFERROR(VLOOKUP(W38,Lookups!$G$2:$H$77,2,FALSE),"")</f>
        <v/>
      </c>
      <c r="Y38" s="45"/>
      <c r="Z38" s="45"/>
      <c r="AA38" s="45"/>
      <c r="AB38" s="45"/>
      <c r="AC38" s="45"/>
      <c r="AD38" s="46"/>
      <c r="AE38" s="46"/>
      <c r="AF38" s="47" t="str">
        <f t="shared" si="2"/>
        <v/>
      </c>
      <c r="AG38" s="45"/>
      <c r="AH38" s="45"/>
      <c r="AI38" s="45"/>
      <c r="AJ38" s="47" t="str">
        <f>IFERROR(VLOOKUP(AI38,Lookups!$W$2:$X$15,2,FALSE),"")</f>
        <v/>
      </c>
      <c r="AK38" s="45"/>
      <c r="AL38" s="45"/>
      <c r="AM38" s="46"/>
    </row>
    <row r="39" spans="1:39" s="15" customFormat="1" x14ac:dyDescent="0.25">
      <c r="A39" s="45"/>
      <c r="B39" s="45"/>
      <c r="C39" s="45"/>
      <c r="D39" s="46"/>
      <c r="E39" s="46"/>
      <c r="F39" s="45"/>
      <c r="G39" s="47" t="str">
        <f>IFERROR(VLOOKUP(F39,Lookups!$D$2:$E$18,2,FALSE),"")</f>
        <v/>
      </c>
      <c r="H39" s="45"/>
      <c r="I39" s="45"/>
      <c r="J39" s="46"/>
      <c r="K39" s="45"/>
      <c r="L39" s="46"/>
      <c r="M39" s="46"/>
      <c r="N39" s="47" t="str">
        <f t="shared" si="3"/>
        <v/>
      </c>
      <c r="O39" s="45"/>
      <c r="P39" s="45"/>
      <c r="Q39" s="46"/>
      <c r="R39" s="45"/>
      <c r="S39" s="45"/>
      <c r="T39" s="45"/>
      <c r="U39" s="45"/>
      <c r="V39" s="45"/>
      <c r="W39" s="45"/>
      <c r="X39" s="47" t="str">
        <f>IFERROR(VLOOKUP(W39,Lookups!$G$2:$H$77,2,FALSE),"")</f>
        <v/>
      </c>
      <c r="Y39" s="45"/>
      <c r="Z39" s="45"/>
      <c r="AA39" s="45"/>
      <c r="AB39" s="45"/>
      <c r="AC39" s="45"/>
      <c r="AD39" s="46"/>
      <c r="AE39" s="46"/>
      <c r="AF39" s="47" t="str">
        <f t="shared" si="2"/>
        <v/>
      </c>
      <c r="AG39" s="45"/>
      <c r="AH39" s="45"/>
      <c r="AI39" s="45"/>
      <c r="AJ39" s="47" t="str">
        <f>IFERROR(VLOOKUP(AI39,Lookups!$W$2:$X$15,2,FALSE),"")</f>
        <v/>
      </c>
      <c r="AK39" s="45"/>
      <c r="AL39" s="45"/>
      <c r="AM39" s="46"/>
    </row>
    <row r="40" spans="1:39" s="15" customFormat="1" x14ac:dyDescent="0.25">
      <c r="A40" s="45"/>
      <c r="B40" s="45"/>
      <c r="C40" s="45"/>
      <c r="D40" s="46"/>
      <c r="E40" s="46"/>
      <c r="F40" s="45"/>
      <c r="G40" s="47" t="str">
        <f>IFERROR(VLOOKUP(F40,Lookups!$D$2:$E$18,2,FALSE),"")</f>
        <v/>
      </c>
      <c r="H40" s="45"/>
      <c r="I40" s="45"/>
      <c r="J40" s="46"/>
      <c r="K40" s="45"/>
      <c r="L40" s="46"/>
      <c r="M40" s="46"/>
      <c r="N40" s="47" t="str">
        <f t="shared" si="3"/>
        <v/>
      </c>
      <c r="O40" s="45"/>
      <c r="P40" s="45"/>
      <c r="Q40" s="46"/>
      <c r="R40" s="45"/>
      <c r="S40" s="45"/>
      <c r="T40" s="45"/>
      <c r="U40" s="45"/>
      <c r="V40" s="45"/>
      <c r="W40" s="45"/>
      <c r="X40" s="47" t="str">
        <f>IFERROR(VLOOKUP(W40,Lookups!$G$2:$H$77,2,FALSE),"")</f>
        <v/>
      </c>
      <c r="Y40" s="45"/>
      <c r="Z40" s="45"/>
      <c r="AA40" s="45"/>
      <c r="AB40" s="45"/>
      <c r="AC40" s="45"/>
      <c r="AD40" s="46"/>
      <c r="AE40" s="46"/>
      <c r="AF40" s="47" t="str">
        <f t="shared" si="2"/>
        <v/>
      </c>
      <c r="AG40" s="45"/>
      <c r="AH40" s="45"/>
      <c r="AI40" s="45"/>
      <c r="AJ40" s="47" t="str">
        <f>IFERROR(VLOOKUP(AI40,Lookups!$W$2:$X$15,2,FALSE),"")</f>
        <v/>
      </c>
      <c r="AK40" s="45"/>
      <c r="AL40" s="45"/>
      <c r="AM40" s="46"/>
    </row>
    <row r="41" spans="1:39" s="15" customFormat="1" x14ac:dyDescent="0.25">
      <c r="A41" s="45"/>
      <c r="B41" s="45"/>
      <c r="C41" s="45"/>
      <c r="D41" s="46"/>
      <c r="E41" s="46"/>
      <c r="F41" s="45"/>
      <c r="G41" s="47" t="str">
        <f>IFERROR(VLOOKUP(F41,Lookups!$D$2:$E$18,2,FALSE),"")</f>
        <v/>
      </c>
      <c r="H41" s="45"/>
      <c r="I41" s="45"/>
      <c r="J41" s="46"/>
      <c r="K41" s="45"/>
      <c r="L41" s="46"/>
      <c r="M41" s="46"/>
      <c r="N41" s="47" t="str">
        <f t="shared" si="3"/>
        <v/>
      </c>
      <c r="O41" s="45"/>
      <c r="P41" s="45"/>
      <c r="Q41" s="46"/>
      <c r="R41" s="45"/>
      <c r="S41" s="45"/>
      <c r="T41" s="45"/>
      <c r="U41" s="45"/>
      <c r="V41" s="45"/>
      <c r="W41" s="45"/>
      <c r="X41" s="47" t="str">
        <f>IFERROR(VLOOKUP(W41,Lookups!$G$2:$H$77,2,FALSE),"")</f>
        <v/>
      </c>
      <c r="Y41" s="45"/>
      <c r="Z41" s="45"/>
      <c r="AA41" s="45"/>
      <c r="AB41" s="45"/>
      <c r="AC41" s="45"/>
      <c r="AD41" s="46"/>
      <c r="AE41" s="46"/>
      <c r="AF41" s="47" t="str">
        <f t="shared" si="2"/>
        <v/>
      </c>
      <c r="AG41" s="45"/>
      <c r="AH41" s="45"/>
      <c r="AI41" s="45"/>
      <c r="AJ41" s="47" t="str">
        <f>IFERROR(VLOOKUP(AI41,Lookups!$W$2:$X$15,2,FALSE),"")</f>
        <v/>
      </c>
      <c r="AK41" s="45"/>
      <c r="AL41" s="45"/>
      <c r="AM41" s="46"/>
    </row>
    <row r="42" spans="1:39" s="15" customFormat="1" x14ac:dyDescent="0.25">
      <c r="A42" s="45"/>
      <c r="B42" s="45"/>
      <c r="C42" s="45"/>
      <c r="D42" s="46"/>
      <c r="E42" s="46"/>
      <c r="F42" s="45"/>
      <c r="G42" s="47" t="str">
        <f>IFERROR(VLOOKUP(F42,Lookups!$D$2:$E$18,2,FALSE),"")</f>
        <v/>
      </c>
      <c r="H42" s="45"/>
      <c r="I42" s="45"/>
      <c r="J42" s="46"/>
      <c r="K42" s="45"/>
      <c r="L42" s="46"/>
      <c r="M42" s="46"/>
      <c r="N42" s="47" t="str">
        <f t="shared" si="3"/>
        <v/>
      </c>
      <c r="O42" s="45"/>
      <c r="P42" s="45"/>
      <c r="Q42" s="46"/>
      <c r="R42" s="45"/>
      <c r="S42" s="45"/>
      <c r="T42" s="45"/>
      <c r="U42" s="45"/>
      <c r="V42" s="45"/>
      <c r="W42" s="45"/>
      <c r="X42" s="47" t="str">
        <f>IFERROR(VLOOKUP(W42,Lookups!$G$2:$H$77,2,FALSE),"")</f>
        <v/>
      </c>
      <c r="Y42" s="45"/>
      <c r="Z42" s="45"/>
      <c r="AA42" s="45"/>
      <c r="AB42" s="45"/>
      <c r="AC42" s="45"/>
      <c r="AD42" s="46"/>
      <c r="AE42" s="46"/>
      <c r="AF42" s="47" t="str">
        <f t="shared" si="2"/>
        <v/>
      </c>
      <c r="AG42" s="45"/>
      <c r="AH42" s="45"/>
      <c r="AI42" s="45"/>
      <c r="AJ42" s="47" t="str">
        <f>IFERROR(VLOOKUP(AI42,Lookups!$W$2:$X$15,2,FALSE),"")</f>
        <v/>
      </c>
      <c r="AK42" s="45"/>
      <c r="AL42" s="45"/>
      <c r="AM42" s="46"/>
    </row>
    <row r="43" spans="1:39" s="15" customFormat="1" x14ac:dyDescent="0.25">
      <c r="A43" s="45"/>
      <c r="B43" s="45"/>
      <c r="C43" s="45"/>
      <c r="D43" s="46"/>
      <c r="E43" s="46"/>
      <c r="F43" s="45"/>
      <c r="G43" s="47" t="str">
        <f>IFERROR(VLOOKUP(F43,Lookups!$D$2:$E$18,2,FALSE),"")</f>
        <v/>
      </c>
      <c r="H43" s="45"/>
      <c r="I43" s="45"/>
      <c r="J43" s="46"/>
      <c r="K43" s="45"/>
      <c r="L43" s="46"/>
      <c r="M43" s="46"/>
      <c r="N43" s="47" t="str">
        <f t="shared" si="3"/>
        <v/>
      </c>
      <c r="O43" s="45"/>
      <c r="P43" s="45"/>
      <c r="Q43" s="46"/>
      <c r="R43" s="45"/>
      <c r="S43" s="45"/>
      <c r="T43" s="45"/>
      <c r="U43" s="45"/>
      <c r="V43" s="45"/>
      <c r="W43" s="45"/>
      <c r="X43" s="47" t="str">
        <f>IFERROR(VLOOKUP(W43,Lookups!$G$2:$H$77,2,FALSE),"")</f>
        <v/>
      </c>
      <c r="Y43" s="45"/>
      <c r="Z43" s="45"/>
      <c r="AA43" s="45"/>
      <c r="AB43" s="45"/>
      <c r="AC43" s="45"/>
      <c r="AD43" s="46"/>
      <c r="AE43" s="46"/>
      <c r="AF43" s="47" t="str">
        <f t="shared" si="2"/>
        <v/>
      </c>
      <c r="AG43" s="45"/>
      <c r="AH43" s="45"/>
      <c r="AI43" s="45"/>
      <c r="AJ43" s="47" t="str">
        <f>IFERROR(VLOOKUP(AI43,Lookups!$W$2:$X$15,2,FALSE),"")</f>
        <v/>
      </c>
      <c r="AK43" s="45"/>
      <c r="AL43" s="45"/>
      <c r="AM43" s="46"/>
    </row>
    <row r="44" spans="1:39" s="15" customFormat="1" x14ac:dyDescent="0.25">
      <c r="A44" s="45"/>
      <c r="B44" s="45"/>
      <c r="C44" s="45"/>
      <c r="D44" s="46"/>
      <c r="E44" s="46"/>
      <c r="F44" s="45"/>
      <c r="G44" s="47" t="str">
        <f>IFERROR(VLOOKUP(F44,Lookups!$D$2:$E$18,2,FALSE),"")</f>
        <v/>
      </c>
      <c r="H44" s="45"/>
      <c r="I44" s="45"/>
      <c r="J44" s="46"/>
      <c r="K44" s="45"/>
      <c r="L44" s="46"/>
      <c r="M44" s="46"/>
      <c r="N44" s="47" t="str">
        <f t="shared" si="3"/>
        <v/>
      </c>
      <c r="O44" s="45"/>
      <c r="P44" s="45"/>
      <c r="Q44" s="46"/>
      <c r="R44" s="45"/>
      <c r="S44" s="45"/>
      <c r="T44" s="45"/>
      <c r="U44" s="45"/>
      <c r="V44" s="45"/>
      <c r="W44" s="45"/>
      <c r="X44" s="47" t="str">
        <f>IFERROR(VLOOKUP(W44,Lookups!$G$2:$H$77,2,FALSE),"")</f>
        <v/>
      </c>
      <c r="Y44" s="45"/>
      <c r="Z44" s="45"/>
      <c r="AA44" s="45"/>
      <c r="AB44" s="45"/>
      <c r="AC44" s="45"/>
      <c r="AD44" s="46"/>
      <c r="AE44" s="46"/>
      <c r="AF44" s="47" t="str">
        <f t="shared" si="2"/>
        <v/>
      </c>
      <c r="AG44" s="45"/>
      <c r="AH44" s="45"/>
      <c r="AI44" s="45"/>
      <c r="AJ44" s="47" t="str">
        <f>IFERROR(VLOOKUP(AI44,Lookups!$W$2:$X$15,2,FALSE),"")</f>
        <v/>
      </c>
      <c r="AK44" s="45"/>
      <c r="AL44" s="45"/>
      <c r="AM44" s="46"/>
    </row>
    <row r="45" spans="1:39" s="15" customFormat="1" x14ac:dyDescent="0.25">
      <c r="A45" s="45"/>
      <c r="B45" s="45"/>
      <c r="C45" s="45"/>
      <c r="D45" s="46"/>
      <c r="E45" s="46"/>
      <c r="F45" s="45"/>
      <c r="G45" s="47" t="str">
        <f>IFERROR(VLOOKUP(F45,Lookups!$D$2:$E$18,2,FALSE),"")</f>
        <v/>
      </c>
      <c r="H45" s="45"/>
      <c r="I45" s="45"/>
      <c r="J45" s="46"/>
      <c r="K45" s="45"/>
      <c r="L45" s="46"/>
      <c r="M45" s="46"/>
      <c r="N45" s="47" t="str">
        <f t="shared" si="3"/>
        <v/>
      </c>
      <c r="O45" s="45"/>
      <c r="P45" s="45"/>
      <c r="Q45" s="46"/>
      <c r="R45" s="45"/>
      <c r="S45" s="45"/>
      <c r="T45" s="45"/>
      <c r="U45" s="45"/>
      <c r="V45" s="45"/>
      <c r="W45" s="45"/>
      <c r="X45" s="47" t="str">
        <f>IFERROR(VLOOKUP(W45,Lookups!$G$2:$H$77,2,FALSE),"")</f>
        <v/>
      </c>
      <c r="Y45" s="45"/>
      <c r="Z45" s="45"/>
      <c r="AA45" s="45"/>
      <c r="AB45" s="45"/>
      <c r="AC45" s="45"/>
      <c r="AD45" s="46"/>
      <c r="AE45" s="46"/>
      <c r="AF45" s="47" t="str">
        <f t="shared" si="2"/>
        <v/>
      </c>
      <c r="AG45" s="45"/>
      <c r="AH45" s="45"/>
      <c r="AI45" s="45"/>
      <c r="AJ45" s="47" t="str">
        <f>IFERROR(VLOOKUP(AI45,Lookups!$W$2:$X$15,2,FALSE),"")</f>
        <v/>
      </c>
      <c r="AK45" s="45"/>
      <c r="AL45" s="45"/>
      <c r="AM45" s="46"/>
    </row>
    <row r="46" spans="1:39" s="15" customFormat="1" x14ac:dyDescent="0.25">
      <c r="A46" s="45"/>
      <c r="B46" s="45"/>
      <c r="C46" s="45"/>
      <c r="D46" s="46"/>
      <c r="E46" s="46"/>
      <c r="F46" s="45"/>
      <c r="G46" s="47" t="str">
        <f>IFERROR(VLOOKUP(F46,Lookups!$D$2:$E$18,2,FALSE),"")</f>
        <v/>
      </c>
      <c r="H46" s="45"/>
      <c r="I46" s="45"/>
      <c r="J46" s="46"/>
      <c r="K46" s="45"/>
      <c r="L46" s="46"/>
      <c r="M46" s="46"/>
      <c r="N46" s="47" t="str">
        <f t="shared" si="3"/>
        <v/>
      </c>
      <c r="O46" s="45"/>
      <c r="P46" s="45"/>
      <c r="Q46" s="46"/>
      <c r="R46" s="45"/>
      <c r="S46" s="45"/>
      <c r="T46" s="45"/>
      <c r="U46" s="45"/>
      <c r="V46" s="45"/>
      <c r="W46" s="45"/>
      <c r="X46" s="47" t="str">
        <f>IFERROR(VLOOKUP(W46,Lookups!$G$2:$H$77,2,FALSE),"")</f>
        <v/>
      </c>
      <c r="Y46" s="45"/>
      <c r="Z46" s="45"/>
      <c r="AA46" s="45"/>
      <c r="AB46" s="45"/>
      <c r="AC46" s="45"/>
      <c r="AD46" s="46"/>
      <c r="AE46" s="46"/>
      <c r="AF46" s="47" t="str">
        <f t="shared" si="2"/>
        <v/>
      </c>
      <c r="AG46" s="45"/>
      <c r="AH46" s="45"/>
      <c r="AI46" s="45"/>
      <c r="AJ46" s="47" t="str">
        <f>IFERROR(VLOOKUP(AI46,Lookups!$W$2:$X$15,2,FALSE),"")</f>
        <v/>
      </c>
      <c r="AK46" s="45"/>
      <c r="AL46" s="45"/>
      <c r="AM46" s="46"/>
    </row>
    <row r="47" spans="1:39" s="15" customFormat="1" x14ac:dyDescent="0.25">
      <c r="A47" s="45"/>
      <c r="B47" s="45"/>
      <c r="C47" s="45"/>
      <c r="D47" s="46"/>
      <c r="E47" s="46"/>
      <c r="F47" s="45"/>
      <c r="G47" s="47" t="str">
        <f>IFERROR(VLOOKUP(F47,Lookups!$D$2:$E$18,2,FALSE),"")</f>
        <v/>
      </c>
      <c r="H47" s="45"/>
      <c r="I47" s="45"/>
      <c r="J47" s="46"/>
      <c r="K47" s="45"/>
      <c r="L47" s="46"/>
      <c r="M47" s="46"/>
      <c r="N47" s="47" t="str">
        <f t="shared" si="3"/>
        <v/>
      </c>
      <c r="O47" s="45"/>
      <c r="P47" s="45"/>
      <c r="Q47" s="46"/>
      <c r="R47" s="45"/>
      <c r="S47" s="45"/>
      <c r="T47" s="45"/>
      <c r="U47" s="45"/>
      <c r="V47" s="45"/>
      <c r="W47" s="45"/>
      <c r="X47" s="47" t="str">
        <f>IFERROR(VLOOKUP(W47,Lookups!$G$2:$H$77,2,FALSE),"")</f>
        <v/>
      </c>
      <c r="Y47" s="45"/>
      <c r="Z47" s="45"/>
      <c r="AA47" s="45"/>
      <c r="AB47" s="45"/>
      <c r="AC47" s="45"/>
      <c r="AD47" s="46"/>
      <c r="AE47" s="46"/>
      <c r="AF47" s="47" t="str">
        <f t="shared" si="2"/>
        <v/>
      </c>
      <c r="AG47" s="45"/>
      <c r="AH47" s="45"/>
      <c r="AI47" s="45"/>
      <c r="AJ47" s="47" t="str">
        <f>IFERROR(VLOOKUP(AI47,Lookups!$W$2:$X$15,2,FALSE),"")</f>
        <v/>
      </c>
      <c r="AK47" s="45"/>
      <c r="AL47" s="45"/>
      <c r="AM47" s="46"/>
    </row>
    <row r="48" spans="1:39" s="15" customFormat="1" x14ac:dyDescent="0.25">
      <c r="A48" s="45"/>
      <c r="B48" s="45"/>
      <c r="C48" s="45"/>
      <c r="D48" s="46"/>
      <c r="E48" s="46"/>
      <c r="F48" s="45"/>
      <c r="G48" s="47" t="str">
        <f>IFERROR(VLOOKUP(F48,Lookups!$D$2:$E$18,2,FALSE),"")</f>
        <v/>
      </c>
      <c r="H48" s="45"/>
      <c r="I48" s="45"/>
      <c r="J48" s="46"/>
      <c r="K48" s="45"/>
      <c r="L48" s="46"/>
      <c r="M48" s="46"/>
      <c r="N48" s="47" t="str">
        <f t="shared" si="3"/>
        <v/>
      </c>
      <c r="O48" s="45"/>
      <c r="P48" s="45"/>
      <c r="Q48" s="46"/>
      <c r="R48" s="45"/>
      <c r="S48" s="45"/>
      <c r="T48" s="45"/>
      <c r="U48" s="45"/>
      <c r="V48" s="45"/>
      <c r="W48" s="45"/>
      <c r="X48" s="47" t="str">
        <f>IFERROR(VLOOKUP(W48,Lookups!$G$2:$H$77,2,FALSE),"")</f>
        <v/>
      </c>
      <c r="Y48" s="45"/>
      <c r="Z48" s="45"/>
      <c r="AA48" s="45"/>
      <c r="AB48" s="45"/>
      <c r="AC48" s="45"/>
      <c r="AD48" s="46"/>
      <c r="AE48" s="46"/>
      <c r="AF48" s="47" t="str">
        <f t="shared" si="2"/>
        <v/>
      </c>
      <c r="AG48" s="45"/>
      <c r="AH48" s="45"/>
      <c r="AI48" s="45"/>
      <c r="AJ48" s="47" t="str">
        <f>IFERROR(VLOOKUP(AI48,Lookups!$W$2:$X$15,2,FALSE),"")</f>
        <v/>
      </c>
      <c r="AK48" s="45"/>
      <c r="AL48" s="45"/>
      <c r="AM48" s="46"/>
    </row>
    <row r="49" spans="1:39" s="15" customFormat="1" x14ac:dyDescent="0.25">
      <c r="A49" s="45"/>
      <c r="B49" s="45"/>
      <c r="C49" s="45"/>
      <c r="D49" s="46"/>
      <c r="E49" s="46"/>
      <c r="F49" s="45"/>
      <c r="G49" s="47" t="str">
        <f>IFERROR(VLOOKUP(F49,Lookups!$D$2:$E$18,2,FALSE),"")</f>
        <v/>
      </c>
      <c r="H49" s="45"/>
      <c r="I49" s="45"/>
      <c r="J49" s="46"/>
      <c r="K49" s="45"/>
      <c r="L49" s="46"/>
      <c r="M49" s="46"/>
      <c r="N49" s="47" t="str">
        <f t="shared" si="3"/>
        <v/>
      </c>
      <c r="O49" s="45"/>
      <c r="P49" s="45"/>
      <c r="Q49" s="46"/>
      <c r="R49" s="45"/>
      <c r="S49" s="45"/>
      <c r="T49" s="45"/>
      <c r="U49" s="45"/>
      <c r="V49" s="45"/>
      <c r="W49" s="45"/>
      <c r="X49" s="47" t="str">
        <f>IFERROR(VLOOKUP(W49,Lookups!$G$2:$H$77,2,FALSE),"")</f>
        <v/>
      </c>
      <c r="Y49" s="45"/>
      <c r="Z49" s="45"/>
      <c r="AA49" s="45"/>
      <c r="AB49" s="45"/>
      <c r="AC49" s="45"/>
      <c r="AD49" s="46"/>
      <c r="AE49" s="46"/>
      <c r="AF49" s="47" t="str">
        <f t="shared" si="2"/>
        <v/>
      </c>
      <c r="AG49" s="45"/>
      <c r="AH49" s="45"/>
      <c r="AI49" s="45"/>
      <c r="AJ49" s="47" t="str">
        <f>IFERROR(VLOOKUP(AI49,Lookups!$W$2:$X$15,2,FALSE),"")</f>
        <v/>
      </c>
      <c r="AK49" s="45"/>
      <c r="AL49" s="45"/>
      <c r="AM49" s="46"/>
    </row>
    <row r="50" spans="1:39" s="15" customFormat="1" x14ac:dyDescent="0.25">
      <c r="A50" s="45"/>
      <c r="B50" s="45"/>
      <c r="C50" s="45"/>
      <c r="D50" s="46"/>
      <c r="E50" s="46"/>
      <c r="F50" s="45"/>
      <c r="G50" s="47" t="str">
        <f>IFERROR(VLOOKUP(F50,Lookups!$D$2:$E$18,2,FALSE),"")</f>
        <v/>
      </c>
      <c r="H50" s="45"/>
      <c r="I50" s="45"/>
      <c r="J50" s="46"/>
      <c r="K50" s="45"/>
      <c r="L50" s="46"/>
      <c r="M50" s="46"/>
      <c r="N50" s="47" t="str">
        <f t="shared" si="3"/>
        <v/>
      </c>
      <c r="O50" s="45"/>
      <c r="P50" s="45"/>
      <c r="Q50" s="46"/>
      <c r="R50" s="45"/>
      <c r="S50" s="45"/>
      <c r="T50" s="45"/>
      <c r="U50" s="45"/>
      <c r="V50" s="45"/>
      <c r="W50" s="45"/>
      <c r="X50" s="47" t="str">
        <f>IFERROR(VLOOKUP(W50,Lookups!$G$2:$H$77,2,FALSE),"")</f>
        <v/>
      </c>
      <c r="Y50" s="45"/>
      <c r="Z50" s="45"/>
      <c r="AA50" s="45"/>
      <c r="AB50" s="45"/>
      <c r="AC50" s="45"/>
      <c r="AD50" s="46"/>
      <c r="AE50" s="46"/>
      <c r="AF50" s="47" t="str">
        <f t="shared" si="2"/>
        <v/>
      </c>
      <c r="AG50" s="45"/>
      <c r="AH50" s="45"/>
      <c r="AI50" s="45"/>
      <c r="AJ50" s="47" t="str">
        <f>IFERROR(VLOOKUP(AI50,Lookups!$W$2:$X$15,2,FALSE),"")</f>
        <v/>
      </c>
      <c r="AK50" s="45"/>
      <c r="AL50" s="45"/>
      <c r="AM50" s="46"/>
    </row>
    <row r="51" spans="1:39" x14ac:dyDescent="0.25">
      <c r="A51" s="45"/>
      <c r="B51" s="45"/>
      <c r="C51" s="45"/>
      <c r="D51" s="46"/>
      <c r="E51" s="46"/>
      <c r="F51" s="45"/>
      <c r="G51" s="47" t="str">
        <f>IFERROR(VLOOKUP(F51,Lookups!$D$2:$E$18,2,FALSE),"")</f>
        <v/>
      </c>
      <c r="H51" s="45"/>
      <c r="I51" s="45"/>
      <c r="J51" s="46"/>
      <c r="K51" s="45"/>
      <c r="L51" s="46"/>
      <c r="M51" s="46"/>
      <c r="N51" s="47" t="str">
        <f t="shared" si="3"/>
        <v/>
      </c>
      <c r="O51" s="45"/>
      <c r="P51" s="45"/>
      <c r="Q51" s="46"/>
      <c r="R51" s="45"/>
      <c r="S51" s="45"/>
      <c r="T51" s="45"/>
      <c r="U51" s="45"/>
      <c r="V51" s="45"/>
      <c r="W51" s="45"/>
      <c r="X51" s="47" t="str">
        <f>IFERROR(VLOOKUP(W51,Lookups!$G$2:$H$77,2,FALSE),"")</f>
        <v/>
      </c>
      <c r="Y51" s="45"/>
      <c r="Z51" s="45"/>
      <c r="AA51" s="45"/>
      <c r="AB51" s="45"/>
      <c r="AC51" s="45"/>
      <c r="AD51" s="46"/>
      <c r="AE51" s="46"/>
      <c r="AF51" s="47" t="str">
        <f>IF(OR(ISBLANK(AD51),ISBLANK(AE51)),"",(AE51-AD51)+1)</f>
        <v/>
      </c>
      <c r="AG51" s="45"/>
      <c r="AH51" s="45"/>
      <c r="AI51" s="45"/>
      <c r="AJ51" s="47" t="str">
        <f>IFERROR(VLOOKUP(AI51,Lookups!$W$2:$X$15,2,FALSE),"")</f>
        <v/>
      </c>
      <c r="AK51" s="45"/>
      <c r="AL51" s="45"/>
      <c r="AM51" s="46"/>
    </row>
    <row r="52" spans="1:39" x14ac:dyDescent="0.25">
      <c r="A52" s="45"/>
      <c r="B52" s="45"/>
      <c r="C52" s="45"/>
      <c r="D52" s="46"/>
      <c r="E52" s="46"/>
      <c r="F52" s="45"/>
      <c r="G52" s="47" t="str">
        <f>IFERROR(VLOOKUP(F52,Lookups!$D$2:$E$18,2,FALSE),"")</f>
        <v/>
      </c>
      <c r="H52" s="45"/>
      <c r="I52" s="45"/>
      <c r="J52" s="46"/>
      <c r="K52" s="45"/>
      <c r="L52" s="46"/>
      <c r="M52" s="46"/>
      <c r="N52" s="47" t="str">
        <f t="shared" si="3"/>
        <v/>
      </c>
      <c r="O52" s="45"/>
      <c r="P52" s="45"/>
      <c r="Q52" s="46"/>
      <c r="R52" s="45"/>
      <c r="S52" s="45"/>
      <c r="T52" s="45"/>
      <c r="U52" s="45"/>
      <c r="V52" s="45"/>
      <c r="W52" s="45"/>
      <c r="X52" s="47" t="str">
        <f>IFERROR(VLOOKUP(W52,Lookups!$G$2:$H$77,2,FALSE),"")</f>
        <v/>
      </c>
      <c r="Y52" s="45"/>
      <c r="Z52" s="45"/>
      <c r="AA52" s="45"/>
      <c r="AB52" s="45"/>
      <c r="AC52" s="45"/>
      <c r="AD52" s="46"/>
      <c r="AE52" s="46"/>
      <c r="AF52" s="47" t="str">
        <f>IF(OR(ISBLANK(AD52),ISBLANK(AE52)),"",(AE52-AD52)+1)</f>
        <v/>
      </c>
      <c r="AG52" s="45"/>
      <c r="AH52" s="45"/>
      <c r="AI52" s="45"/>
      <c r="AJ52" s="47" t="str">
        <f>IFERROR(VLOOKUP(AI52,Lookups!$W$2:$X$15,2,FALSE),"")</f>
        <v/>
      </c>
      <c r="AK52" s="45"/>
      <c r="AL52" s="45"/>
      <c r="AM52" s="46"/>
    </row>
    <row r="53" spans="1:39" x14ac:dyDescent="0.25">
      <c r="A53" s="45"/>
      <c r="B53" s="45"/>
      <c r="C53" s="45"/>
      <c r="D53" s="46"/>
      <c r="E53" s="46"/>
      <c r="F53" s="45"/>
      <c r="G53" s="47" t="str">
        <f>IFERROR(VLOOKUP(F53,Lookups!$D$2:$E$18,2,FALSE),"")</f>
        <v/>
      </c>
      <c r="H53" s="45"/>
      <c r="I53" s="45"/>
      <c r="J53" s="46"/>
      <c r="K53" s="45"/>
      <c r="L53" s="46"/>
      <c r="M53" s="46"/>
      <c r="N53" s="47" t="str">
        <f t="shared" si="3"/>
        <v/>
      </c>
      <c r="O53" s="45"/>
      <c r="P53" s="45"/>
      <c r="Q53" s="46"/>
      <c r="R53" s="45"/>
      <c r="S53" s="45"/>
      <c r="T53" s="45"/>
      <c r="U53" s="45"/>
      <c r="V53" s="45"/>
      <c r="W53" s="45"/>
      <c r="X53" s="47" t="str">
        <f>IFERROR(VLOOKUP(W53,Lookups!$G$2:$H$77,2,FALSE),"")</f>
        <v/>
      </c>
      <c r="Y53" s="45"/>
      <c r="Z53" s="45"/>
      <c r="AA53" s="45"/>
      <c r="AB53" s="45"/>
      <c r="AC53" s="45"/>
      <c r="AD53" s="46"/>
      <c r="AE53" s="46"/>
      <c r="AF53" s="47" t="str">
        <f>IF(OR(ISBLANK(AD53),ISBLANK(AE53)),"",(AE53-AD53)+1)</f>
        <v/>
      </c>
      <c r="AG53" s="45"/>
      <c r="AH53" s="45"/>
      <c r="AI53" s="45"/>
      <c r="AJ53" s="47" t="str">
        <f>IFERROR(VLOOKUP(AI53,Lookups!$W$2:$X$15,2,FALSE),"")</f>
        <v/>
      </c>
      <c r="AK53" s="45"/>
      <c r="AL53" s="45"/>
      <c r="AM53" s="46"/>
    </row>
  </sheetData>
  <sheetProtection algorithmName="SHA-512" hashValue="dHjONBhPD4kWKzGAEnza+c4sn3JURlij4bQ38qFFniUEDbFTMgmjx7B593t7Yf33YvymNDu4HMzZvq/DObdf0w==" saltValue="j1yGGDL5ZOMMcbGdL5T3JQ==" spinCount="100000" sheet="1" formatCells="0" formatColumns="0" formatRows="0" insertRows="0" deleteRows="0" sort="0" autoFilter="0" pivotTables="0"/>
  <mergeCells count="6">
    <mergeCell ref="AK1:AM1"/>
    <mergeCell ref="A1:D1"/>
    <mergeCell ref="I1:O1"/>
    <mergeCell ref="P1:V1"/>
    <mergeCell ref="W1:AH1"/>
    <mergeCell ref="E1:H1"/>
  </mergeCells>
  <dataValidations count="11">
    <dataValidation type="list" allowBlank="1" showInputMessage="1" showErrorMessage="1" sqref="K3:K53" xr:uid="{00000000-0002-0000-0300-000000000000}">
      <formula1>INDIRECT("Device_Type[Device_Type]")</formula1>
    </dataValidation>
    <dataValidation type="list" allowBlank="1" showInputMessage="1" showErrorMessage="1" sqref="H3:H53 P3:P53 U3:U53 AG3:AH53 AK3:AK53" xr:uid="{00000000-0002-0000-0300-000001000000}">
      <formula1>"Yes, No"</formula1>
    </dataValidation>
    <dataValidation type="list" allowBlank="1" showInputMessage="1" showErrorMessage="1" sqref="W3:W53" xr:uid="{00000000-0002-0000-0300-000002000000}">
      <formula1>INDIRECT("ABX_Name_Class[ABX Name]")</formula1>
    </dataValidation>
    <dataValidation type="list" allowBlank="1" showInputMessage="1" showErrorMessage="1" sqref="F3:F53" xr:uid="{00000000-0002-0000-0300-000003000000}">
      <formula1>INDIRECT("Infection_type[infection type]")</formula1>
    </dataValidation>
    <dataValidation type="list" allowBlank="1" showInputMessage="1" showErrorMessage="1" sqref="Z3:Z53" xr:uid="{00000000-0002-0000-0300-000004000000}">
      <formula1>INDIRECT("ABX_Route[ABX Route]")</formula1>
    </dataValidation>
    <dataValidation type="list" allowBlank="1" showInputMessage="1" showErrorMessage="1" sqref="AC3:AC53" xr:uid="{00000000-0002-0000-0300-000005000000}">
      <formula1>INDIRECT("ABX_Origination[ABX Origination]")</formula1>
    </dataValidation>
    <dataValidation type="list" allowBlank="1" showInputMessage="1" showErrorMessage="1" sqref="S3:S53" xr:uid="{00000000-0002-0000-03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300-000007000000}">
      <formula1>"Yes, No"</formula1>
    </dataValidation>
    <dataValidation type="custom" allowBlank="1" showInputMessage="1" showErrorMessage="1" sqref="AF3:AF53 X3:X53" xr:uid="{00000000-0002-0000-0300-000008000000}">
      <formula1>""</formula1>
    </dataValidation>
    <dataValidation type="list" allowBlank="1" showInputMessage="1" showErrorMessage="1" sqref="AL3:AL53" xr:uid="{00000000-0002-0000-0300-000009000000}">
      <formula1>INDIRECT("Precautions[Transmission-based Precautions]")</formula1>
    </dataValidation>
    <dataValidation type="list" allowBlank="1" showInputMessage="1" showErrorMessage="1" sqref="AI3:AI53" xr:uid="{00000000-0002-0000-0300-00000A000000}">
      <formula1>INDIRECT("Antimicrobials[Antimicrobial Drug]")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3"/>
  <sheetViews>
    <sheetView showGridLines="0" tabSelected="1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570312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140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42578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Qi6T82nzZ/d1vuP6jfAfCGizQa06gw8zIhXOm5/3uxT2KpinPspckbdSpla1jfFk3rJ0OooI5gQdfPt6+Q8sSQ==" saltValue="21pSUOYem1xIylt+4uTU0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400-000000000000}">
      <formula1>INDIRECT("ABX_Route[ABX Route]")</formula1>
    </dataValidation>
    <dataValidation type="list" allowBlank="1" showInputMessage="1" showErrorMessage="1" sqref="F3:F53" xr:uid="{00000000-0002-0000-0400-000001000000}">
      <formula1>INDIRECT("Infection_type[infection type]")</formula1>
    </dataValidation>
    <dataValidation type="list" allowBlank="1" showInputMessage="1" showErrorMessage="1" sqref="W3:W53" xr:uid="{00000000-0002-0000-0400-000002000000}">
      <formula1>INDIRECT("ABX_Name_Class[ABX Name]")</formula1>
    </dataValidation>
    <dataValidation type="list" allowBlank="1" showInputMessage="1" showErrorMessage="1" sqref="H3:H53 P3:P53 U3:U53 AG3:AH53 AK3:AK53" xr:uid="{00000000-0002-0000-0400-000003000000}">
      <formula1>"Yes, No"</formula1>
    </dataValidation>
    <dataValidation type="list" allowBlank="1" showInputMessage="1" showErrorMessage="1" sqref="K3:K53" xr:uid="{00000000-0002-0000-0400-000004000000}">
      <formula1>INDIRECT("Device_Type[Device_Type]")</formula1>
    </dataValidation>
    <dataValidation type="list" allowBlank="1" showInputMessage="1" showErrorMessage="1" sqref="AC3:AC53" xr:uid="{00000000-0002-0000-0400-000005000000}">
      <formula1>INDIRECT("ABX_Origination[ABX Origination]")</formula1>
    </dataValidation>
    <dataValidation type="list" allowBlank="1" showInputMessage="1" showErrorMessage="1" sqref="S3:S53" xr:uid="{00000000-0002-0000-04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400-000007000000}">
      <formula1>"Yes, No"</formula1>
    </dataValidation>
    <dataValidation type="list" allowBlank="1" showInputMessage="1" showErrorMessage="1" sqref="AL3:AL53" xr:uid="{00000000-0002-0000-0400-000008000000}">
      <formula1>INDIRECT("Precautions[Transmission-based Precautions]")</formula1>
    </dataValidation>
    <dataValidation type="list" allowBlank="1" showInputMessage="1" showErrorMessage="1" sqref="AI3 AI4:AI53" xr:uid="{00000000-0002-0000-04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0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ref="N4:N50" si="1">IF(OR(ISBLANK(L4),ISBLANK(M4)),"",(M4-L4)+1)</f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0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1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0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1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0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1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0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1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0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1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0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1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0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1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0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1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0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1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0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1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0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1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0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1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0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1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0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1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0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1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0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1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0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1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0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1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0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1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0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1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0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1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0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1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0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1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0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1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0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1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0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1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0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1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0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1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0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1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0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1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0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1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0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1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0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1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0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1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0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1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0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1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0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1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0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1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0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1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0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1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0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1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0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1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0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1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0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1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0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1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0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1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0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E/Z1/iBQ/8iyyC+z6FsP5VKj29ik5uWKQyXc8m8Grrg6LpIYCcmvug0twxYxGripdMBnOAkH22rPDjOm1OqS3g==" saltValue="VeUg4B4rwxvrN0wY63r/s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500-000000000000}">
      <formula1>INDIRECT("Device_Type[Device_Type]")</formula1>
    </dataValidation>
    <dataValidation type="list" allowBlank="1" showInputMessage="1" showErrorMessage="1" sqref="H3:H53 P3:P53 U3:U53 AG3:AH53 AK3:AK53" xr:uid="{00000000-0002-0000-0500-000001000000}">
      <formula1>"Yes, No"</formula1>
    </dataValidation>
    <dataValidation type="list" allowBlank="1" showInputMessage="1" showErrorMessage="1" sqref="W3:W53" xr:uid="{00000000-0002-0000-0500-000002000000}">
      <formula1>INDIRECT("ABX_Name_Class[ABX Name]")</formula1>
    </dataValidation>
    <dataValidation type="list" allowBlank="1" showInputMessage="1" showErrorMessage="1" sqref="F3:F53" xr:uid="{00000000-0002-0000-0500-000003000000}">
      <formula1>INDIRECT("Infection_type[infection type]")</formula1>
    </dataValidation>
    <dataValidation type="list" allowBlank="1" showInputMessage="1" showErrorMessage="1" sqref="Z3:Z53" xr:uid="{00000000-0002-0000-0500-000004000000}">
      <formula1>INDIRECT("ABX_Route[ABX Route]")</formula1>
    </dataValidation>
    <dataValidation type="list" allowBlank="1" showInputMessage="1" showErrorMessage="1" sqref="AC3:AC53" xr:uid="{00000000-0002-0000-0500-000005000000}">
      <formula1>INDIRECT("ABX_Origination[ABX Origination]")</formula1>
    </dataValidation>
    <dataValidation type="list" allowBlank="1" showInputMessage="1" showErrorMessage="1" sqref="S3:S53" xr:uid="{00000000-0002-0000-05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500-000007000000}">
      <formula1>"Yes, No"</formula1>
    </dataValidation>
    <dataValidation type="list" allowBlank="1" showInputMessage="1" showErrorMessage="1" sqref="AL3:AL53" xr:uid="{00000000-0002-0000-0500-000008000000}">
      <formula1>INDIRECT("Precautions[Transmission-based Precautions]")</formula1>
    </dataValidation>
    <dataValidation type="list" allowBlank="1" showInputMessage="1" showErrorMessage="1" sqref="AI3:AI53" xr:uid="{00000000-0002-0000-05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0UJBxnhRsT2S+u4S9ItkFiedokJ2NQCWCF78JIU+LxCpFq5I7vc57ysBvQuslAavYEifWkazFY14fDhOr6c52w==" saltValue="TvpVOcStoIkbcIysai8qv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600-000000000000}">
      <formula1>INDIRECT("ABX_Route[ABX Route]")</formula1>
    </dataValidation>
    <dataValidation type="list" allowBlank="1" showInputMessage="1" showErrorMessage="1" sqref="F3:F53" xr:uid="{00000000-0002-0000-0600-000001000000}">
      <formula1>INDIRECT("Infection_type[infection type]")</formula1>
    </dataValidation>
    <dataValidation type="list" allowBlank="1" showInputMessage="1" showErrorMessage="1" sqref="W3:W53" xr:uid="{00000000-0002-0000-0600-000002000000}">
      <formula1>INDIRECT("ABX_Name_Class[ABX Name]")</formula1>
    </dataValidation>
    <dataValidation type="list" allowBlank="1" showInputMessage="1" showErrorMessage="1" sqref="H3:H53 P3:P53 U3:U53 AG3:AH53 AK3:AK53" xr:uid="{00000000-0002-0000-0600-000003000000}">
      <formula1>"Yes, No"</formula1>
    </dataValidation>
    <dataValidation type="list" allowBlank="1" showInputMessage="1" showErrorMessage="1" sqref="K3:K53" xr:uid="{00000000-0002-0000-0600-000004000000}">
      <formula1>INDIRECT("Device_Type[Device_Type]")</formula1>
    </dataValidation>
    <dataValidation type="list" allowBlank="1" showInputMessage="1" showErrorMessage="1" sqref="AC3:AC53" xr:uid="{00000000-0002-0000-0600-000005000000}">
      <formula1>INDIRECT("ABX_Origination[ABX Origination]")</formula1>
    </dataValidation>
    <dataValidation type="list" allowBlank="1" showInputMessage="1" showErrorMessage="1" sqref="S3:S53" xr:uid="{00000000-0002-0000-06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600-000007000000}">
      <formula1>"Yes, No"</formula1>
    </dataValidation>
    <dataValidation type="list" allowBlank="1" showInputMessage="1" showErrorMessage="1" sqref="AL3:AL53" xr:uid="{00000000-0002-0000-0600-000008000000}">
      <formula1>INDIRECT("Precautions[Transmission-based Precautions]")</formula1>
    </dataValidation>
    <dataValidation type="list" allowBlank="1" showInputMessage="1" showErrorMessage="1" sqref="AI3:AI53" xr:uid="{00000000-0002-0000-06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4.14062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19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25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25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25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25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25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25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25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25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25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25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25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25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25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25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25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25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25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25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25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25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25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25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25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25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25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25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25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25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25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25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25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25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25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25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25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25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25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25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25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25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25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25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25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25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25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25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25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N87YUJ8YVWwi3LVpJWTHfthixBBaVSSZq2VKZ3c3PT9cDVBiEdQk62PzsPnGu29h56y4bGZkvujyGvnWwc5cg==" saltValue="hkbXnuue0xvGuEgRfJ9TJ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700-000000000000}">
      <formula1>INDIRECT("Device_Type[Device_Type]")</formula1>
    </dataValidation>
    <dataValidation type="list" allowBlank="1" showInputMessage="1" showErrorMessage="1" sqref="H3:H53 P3:P53 U3:U53 AG3:AH53 AK3:AK53" xr:uid="{00000000-0002-0000-0700-000001000000}">
      <formula1>"Yes, No"</formula1>
    </dataValidation>
    <dataValidation type="list" allowBlank="1" showInputMessage="1" showErrorMessage="1" sqref="W3:W53" xr:uid="{00000000-0002-0000-0700-000002000000}">
      <formula1>INDIRECT("ABX_Name_Class[ABX Name]")</formula1>
    </dataValidation>
    <dataValidation type="list" allowBlank="1" showInputMessage="1" showErrorMessage="1" sqref="F3:F53" xr:uid="{00000000-0002-0000-0700-000003000000}">
      <formula1>INDIRECT("Infection_type[infection type]")</formula1>
    </dataValidation>
    <dataValidation type="list" allowBlank="1" showInputMessage="1" showErrorMessage="1" sqref="Z3:Z53" xr:uid="{00000000-0002-0000-0700-000004000000}">
      <formula1>INDIRECT("ABX_Route[ABX Route]")</formula1>
    </dataValidation>
    <dataValidation type="list" allowBlank="1" showInputMessage="1" showErrorMessage="1" sqref="AC3:AC53" xr:uid="{00000000-0002-0000-0700-000005000000}">
      <formula1>INDIRECT("ABX_Origination[ABX Origination]")</formula1>
    </dataValidation>
    <dataValidation type="list" allowBlank="1" showInputMessage="1" showErrorMessage="1" sqref="S3:S53" xr:uid="{00000000-0002-0000-07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700-000007000000}">
      <formula1>"Yes, No"</formula1>
    </dataValidation>
    <dataValidation type="list" allowBlank="1" showInputMessage="1" showErrorMessage="1" sqref="AL3:AL53" xr:uid="{00000000-0002-0000-0700-000008000000}">
      <formula1>INDIRECT("Precautions[Transmission-based Precautions]")</formula1>
    </dataValidation>
    <dataValidation type="list" allowBlank="1" showInputMessage="1" showErrorMessage="1" sqref="AI3:AI53" xr:uid="{00000000-0002-0000-07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3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13.28515625" style="16" customWidth="1"/>
    <col min="2" max="3" width="11" style="16" customWidth="1"/>
    <col min="4" max="4" width="14.28515625" style="16" bestFit="1" customWidth="1"/>
    <col min="5" max="5" width="17.28515625" style="16" customWidth="1"/>
    <col min="6" max="6" width="27.7109375" style="16" customWidth="1"/>
    <col min="7" max="7" width="20.85546875" style="16" bestFit="1" customWidth="1"/>
    <col min="8" max="8" width="12" style="16" customWidth="1"/>
    <col min="9" max="9" width="30.85546875" style="16" customWidth="1"/>
    <col min="10" max="10" width="13.85546875" style="16" customWidth="1"/>
    <col min="11" max="13" width="12" style="16" customWidth="1"/>
    <col min="14" max="14" width="15.140625" style="16" bestFit="1" customWidth="1"/>
    <col min="15" max="15" width="13.570312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7109375" style="16" customWidth="1"/>
    <col min="21" max="22" width="12" style="16" customWidth="1"/>
    <col min="23" max="23" width="18.140625" style="16" customWidth="1"/>
    <col min="24" max="24" width="20.28515625" style="16" customWidth="1"/>
    <col min="25" max="28" width="12" style="16" customWidth="1"/>
    <col min="29" max="29" width="25.140625" style="16" bestFit="1" customWidth="1"/>
    <col min="30" max="30" width="13.140625" style="16" bestFit="1" customWidth="1"/>
    <col min="31" max="31" width="12" style="16" customWidth="1"/>
    <col min="32" max="32" width="14.85546875" style="16" customWidth="1"/>
    <col min="33" max="33" width="12" style="16" customWidth="1"/>
    <col min="34" max="34" width="13.5703125" style="16" customWidth="1"/>
    <col min="35" max="35" width="14.5703125" style="16" customWidth="1"/>
    <col min="36" max="36" width="17.85546875" style="16" customWidth="1"/>
    <col min="37" max="37" width="16.140625" style="16" customWidth="1"/>
    <col min="38" max="39" width="12" style="16" customWidth="1"/>
    <col min="40" max="16384" width="9.140625" style="16"/>
  </cols>
  <sheetData>
    <row r="1" spans="1:39" s="12" customFormat="1" x14ac:dyDescent="0.25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25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25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25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25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25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25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25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25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25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25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25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25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25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25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25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25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25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25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25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25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25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25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25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25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25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25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25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25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25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25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25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25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25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25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25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25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25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25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25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25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25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25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25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25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25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25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25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25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25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25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25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r2XsaruKsf/Re7QHG6324zhIVZMxke/m+AyBdasY2SM1LyTQ6dA+WguVdUMlEyrYNz5YMXBX1/Sh4GVjDbxuQ==" saltValue="EkPhIOTma5OirMjdX8yan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800-000000000000}">
      <formula1>INDIRECT("ABX_Route[ABX Route]")</formula1>
    </dataValidation>
    <dataValidation type="list" allowBlank="1" showInputMessage="1" showErrorMessage="1" sqref="F3:F53" xr:uid="{00000000-0002-0000-0800-000001000000}">
      <formula1>INDIRECT("Infection_type[infection type]")</formula1>
    </dataValidation>
    <dataValidation type="list" allowBlank="1" showInputMessage="1" showErrorMessage="1" sqref="W3:W53" xr:uid="{00000000-0002-0000-0800-000002000000}">
      <formula1>INDIRECT("ABX_Name_Class[ABX Name]")</formula1>
    </dataValidation>
    <dataValidation type="list" allowBlank="1" showInputMessage="1" showErrorMessage="1" sqref="H3:H53 P3:P53 U3:U53 AG3:AH53 AI53 AK3:AK53" xr:uid="{00000000-0002-0000-0800-000003000000}">
      <formula1>"Yes, No"</formula1>
    </dataValidation>
    <dataValidation type="list" allowBlank="1" showInputMessage="1" showErrorMessage="1" sqref="K3:K53" xr:uid="{00000000-0002-0000-0800-000004000000}">
      <formula1>INDIRECT("Device_Type[Device_Type]")</formula1>
    </dataValidation>
    <dataValidation type="list" allowBlank="1" showInputMessage="1" showErrorMessage="1" sqref="AC3:AC53" xr:uid="{00000000-0002-0000-0800-000005000000}">
      <formula1>INDIRECT("ABX_Origination[ABX Origination]")</formula1>
    </dataValidation>
    <dataValidation type="list" allowBlank="1" showInputMessage="1" showErrorMessage="1" sqref="S3:S53" xr:uid="{00000000-0002-0000-08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800-000007000000}">
      <formula1>"Yes, No"</formula1>
    </dataValidation>
    <dataValidation type="list" allowBlank="1" showInputMessage="1" showErrorMessage="1" sqref="AL3:AL53" xr:uid="{00000000-0002-0000-0800-000008000000}">
      <formula1>INDIRECT("Precautions[Transmission-based Precautions]")</formula1>
    </dataValidation>
    <dataValidation type="list" allowBlank="1" showInputMessage="1" showErrorMessage="1" sqref="AI3:AI52" xr:uid="{00000000-0002-0000-08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Resident Days Present</vt:lpstr>
      <vt:lpstr>Summary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Lookups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Infection and Antibiotic Use Tracking Tool</dc:title>
  <dc:creator>MDH IDEPC</dc:creator>
  <cp:lastModifiedBy>OEM</cp:lastModifiedBy>
  <cp:lastPrinted>2018-05-08T20:11:30Z</cp:lastPrinted>
  <dcterms:created xsi:type="dcterms:W3CDTF">2018-05-07T19:47:14Z</dcterms:created>
  <dcterms:modified xsi:type="dcterms:W3CDTF">2022-06-08T03:58:18Z</dcterms:modified>
</cp:coreProperties>
</file>